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fileSharing readOnlyRecommended="1"/>
  <workbookPr showInkAnnotation="0"/>
  <mc:AlternateContent xmlns:mc="http://schemas.openxmlformats.org/markup-compatibility/2006">
    <mc:Choice Requires="x15">
      <x15ac:absPath xmlns:x15ac="http://schemas.microsoft.com/office/spreadsheetml/2010/11/ac" url="/Users/baraniang/Downloads/"/>
    </mc:Choice>
  </mc:AlternateContent>
  <xr:revisionPtr revIDLastSave="0" documentId="8_{B08FED03-9086-3A44-BF86-DCD8C48A68F8}" xr6:coauthVersionLast="47" xr6:coauthVersionMax="47" xr10:uidLastSave="{00000000-0000-0000-0000-000000000000}"/>
  <bookViews>
    <workbookView xWindow="0" yWindow="500" windowWidth="33600" windowHeight="19360" activeTab="10" xr2:uid="{00000000-000D-0000-FFFF-FFFF00000000}"/>
  </bookViews>
  <sheets>
    <sheet name="SO_APU" sheetId="7" state="hidden" r:id="rId1"/>
    <sheet name="SO_APU_1" sheetId="1" state="hidden" r:id="rId2"/>
    <sheet name="SO_APU_2021" sheetId="9" state="hidden" r:id="rId3"/>
    <sheet name="SO_APU 2022" sheetId="10" state="hidden" r:id="rId4"/>
    <sheet name="SO_APU_dec_2022" sheetId="11" state="hidden" r:id="rId5"/>
    <sheet name="SO_APU_2023" sheetId="12" state="hidden" r:id="rId6"/>
    <sheet name="SO_APU juin 2023" sheetId="13" state="hidden" r:id="rId7"/>
    <sheet name="SO_APU_DEC_23" sheetId="15" r:id="rId8"/>
    <sheet name="SO_APU_sept_23" sheetId="14" state="hidden" r:id="rId9"/>
    <sheet name=" situation des flux de trés (2" sheetId="2" r:id="rId10"/>
    <sheet name="3.5 Dette publique (T)" sheetId="3" r:id="rId11"/>
    <sheet name="BILAN FINANCIER" sheetId="4" r:id="rId12"/>
    <sheet name="CONSOL-AC" sheetId="5" state="hidden" r:id="rId13"/>
    <sheet name="DEVERS" sheetId="6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</externalReferences>
  <definedNames>
    <definedName name="_1Excel_BuiltIn_Print_Area_11_1" localSheetId="9">#REF!</definedName>
    <definedName name="_1Excel_BuiltIn_Print_Area_11_1" localSheetId="11">#REF!</definedName>
    <definedName name="_1Excel_BuiltIn_Print_Area_11_1">#REF!</definedName>
    <definedName name="_2Excel_BuiltIn_Print_Area_2_1" localSheetId="9">#REF!</definedName>
    <definedName name="_2Excel_BuiltIn_Print_Area_2_1" localSheetId="11">#REF!</definedName>
    <definedName name="_2Excel_BuiltIn_Print_Area_2_1">#REF!</definedName>
    <definedName name="_3Excel_BuiltIn_Print_Titles_11_1" localSheetId="9">#REF!</definedName>
    <definedName name="_3Excel_BuiltIn_Print_Titles_11_1" localSheetId="11">#REF!</definedName>
    <definedName name="_3Excel_BuiltIn_Print_Titles_11_1">#REF!</definedName>
    <definedName name="_51100" localSheetId="9">#REF!</definedName>
    <definedName name="_51100" localSheetId="10">#REF!</definedName>
    <definedName name="_51100" localSheetId="11">#REF!</definedName>
    <definedName name="_51100">#REF!</definedName>
    <definedName name="_51200" localSheetId="9">#REF!</definedName>
    <definedName name="_51200" localSheetId="10">#REF!</definedName>
    <definedName name="_51200" localSheetId="11">#REF!</definedName>
    <definedName name="_51200">#REF!</definedName>
    <definedName name="_51201" localSheetId="9">#REF!</definedName>
    <definedName name="_51201" localSheetId="10">#REF!</definedName>
    <definedName name="_51201" localSheetId="11">#REF!</definedName>
    <definedName name="_51201">#REF!</definedName>
    <definedName name="_512011" localSheetId="9">#REF!</definedName>
    <definedName name="_512011" localSheetId="10">#REF!</definedName>
    <definedName name="_512011" localSheetId="11">#REF!</definedName>
    <definedName name="_512011">#REF!</definedName>
    <definedName name="_512012" localSheetId="9">#REF!</definedName>
    <definedName name="_512012" localSheetId="10">#REF!</definedName>
    <definedName name="_512012" localSheetId="11">#REF!</definedName>
    <definedName name="_512012">#REF!</definedName>
    <definedName name="_512013" localSheetId="9">#REF!</definedName>
    <definedName name="_512013" localSheetId="10">#REF!</definedName>
    <definedName name="_512013" localSheetId="11">#REF!</definedName>
    <definedName name="_512013">#REF!</definedName>
    <definedName name="_512014" localSheetId="9">#REF!</definedName>
    <definedName name="_512014" localSheetId="10">#REF!</definedName>
    <definedName name="_512014" localSheetId="11">#REF!</definedName>
    <definedName name="_512014">#REF!</definedName>
    <definedName name="_5120141" localSheetId="9">#REF!</definedName>
    <definedName name="_5120141" localSheetId="10">#REF!</definedName>
    <definedName name="_5120141" localSheetId="11">#REF!</definedName>
    <definedName name="_5120141">#REF!</definedName>
    <definedName name="_51202" localSheetId="9">#REF!</definedName>
    <definedName name="_51202" localSheetId="10">#REF!</definedName>
    <definedName name="_51202" localSheetId="11">#REF!</definedName>
    <definedName name="_51202">#REF!</definedName>
    <definedName name="_512021" localSheetId="9">#REF!</definedName>
    <definedName name="_512021" localSheetId="10">#REF!</definedName>
    <definedName name="_512021" localSheetId="11">#REF!</definedName>
    <definedName name="_512021">#REF!</definedName>
    <definedName name="_512022" localSheetId="9">#REF!</definedName>
    <definedName name="_512022" localSheetId="10">#REF!</definedName>
    <definedName name="_512022" localSheetId="11">#REF!</definedName>
    <definedName name="_512022">#REF!</definedName>
    <definedName name="_512023" localSheetId="9">#REF!</definedName>
    <definedName name="_512023" localSheetId="10">#REF!</definedName>
    <definedName name="_512023" localSheetId="11">#REF!</definedName>
    <definedName name="_512023">#REF!</definedName>
    <definedName name="_512024" localSheetId="9">#REF!</definedName>
    <definedName name="_512024" localSheetId="10">#REF!</definedName>
    <definedName name="_512024" localSheetId="11">#REF!</definedName>
    <definedName name="_512024">#REF!</definedName>
    <definedName name="_512025" localSheetId="9">#REF!</definedName>
    <definedName name="_512025" localSheetId="10">#REF!</definedName>
    <definedName name="_512025" localSheetId="11">#REF!</definedName>
    <definedName name="_512025">#REF!</definedName>
    <definedName name="_5120251" localSheetId="9">#REF!</definedName>
    <definedName name="_5120251" localSheetId="10">#REF!</definedName>
    <definedName name="_5120251" localSheetId="11">#REF!</definedName>
    <definedName name="_5120251">#REF!</definedName>
    <definedName name="_51300" localSheetId="9">#REF!</definedName>
    <definedName name="_51300" localSheetId="10">#REF!</definedName>
    <definedName name="_51300" localSheetId="11">#REF!</definedName>
    <definedName name="_51300">#REF!</definedName>
    <definedName name="_51301" localSheetId="9">#REF!</definedName>
    <definedName name="_51301" localSheetId="10">#REF!</definedName>
    <definedName name="_51301" localSheetId="11">#REF!</definedName>
    <definedName name="_51301">#REF!</definedName>
    <definedName name="_51302" localSheetId="9">#REF!</definedName>
    <definedName name="_51302" localSheetId="10">#REF!</definedName>
    <definedName name="_51302" localSheetId="11">#REF!</definedName>
    <definedName name="_51302">#REF!</definedName>
    <definedName name="_51303" localSheetId="9">#REF!</definedName>
    <definedName name="_51303" localSheetId="10">#REF!</definedName>
    <definedName name="_51303" localSheetId="11">#REF!</definedName>
    <definedName name="_51303">#REF!</definedName>
    <definedName name="_513031" localSheetId="9">#REF!</definedName>
    <definedName name="_513031" localSheetId="10">#REF!</definedName>
    <definedName name="_513031" localSheetId="11">#REF!</definedName>
    <definedName name="_513031">#REF!</definedName>
    <definedName name="_513032" localSheetId="9">#REF!</definedName>
    <definedName name="_513032" localSheetId="10">#REF!</definedName>
    <definedName name="_513032" localSheetId="11">#REF!</definedName>
    <definedName name="_513032">#REF!</definedName>
    <definedName name="_51311" localSheetId="9">#REF!</definedName>
    <definedName name="_51311" localSheetId="10">#REF!</definedName>
    <definedName name="_51311" localSheetId="11">#REF!</definedName>
    <definedName name="_51311">#REF!</definedName>
    <definedName name="_51312" localSheetId="9">#REF!</definedName>
    <definedName name="_51312" localSheetId="10">#REF!</definedName>
    <definedName name="_51312" localSheetId="11">#REF!</definedName>
    <definedName name="_51312">#REF!</definedName>
    <definedName name="_51313" localSheetId="9">#REF!</definedName>
    <definedName name="_51313" localSheetId="10">#REF!</definedName>
    <definedName name="_51313" localSheetId="11">#REF!</definedName>
    <definedName name="_51313">#REF!</definedName>
    <definedName name="_513131" localSheetId="9">#REF!</definedName>
    <definedName name="_513131" localSheetId="10">#REF!</definedName>
    <definedName name="_513131" localSheetId="11">#REF!</definedName>
    <definedName name="_513131">#REF!</definedName>
    <definedName name="_5131311" localSheetId="9">#REF!</definedName>
    <definedName name="_5131311" localSheetId="10">#REF!</definedName>
    <definedName name="_5131311" localSheetId="11">#REF!</definedName>
    <definedName name="_5131311">#REF!</definedName>
    <definedName name="_513132" localSheetId="9">#REF!</definedName>
    <definedName name="_513132" localSheetId="10">#REF!</definedName>
    <definedName name="_513132" localSheetId="11">#REF!</definedName>
    <definedName name="_513132">#REF!</definedName>
    <definedName name="_5131321" localSheetId="9">#REF!</definedName>
    <definedName name="_5131321" localSheetId="10">#REF!</definedName>
    <definedName name="_5131321" localSheetId="11">#REF!</definedName>
    <definedName name="_5131321">#REF!</definedName>
    <definedName name="_51400" localSheetId="9">#REF!</definedName>
    <definedName name="_51400" localSheetId="10">#REF!</definedName>
    <definedName name="_51400" localSheetId="11">#REF!</definedName>
    <definedName name="_51400">#REF!</definedName>
    <definedName name="_514001" localSheetId="9">#REF!</definedName>
    <definedName name="_514001" localSheetId="10">#REF!</definedName>
    <definedName name="_514001" localSheetId="11">#REF!</definedName>
    <definedName name="_514001">#REF!</definedName>
    <definedName name="_514002" localSheetId="9">#REF!</definedName>
    <definedName name="_514002" localSheetId="10">#REF!</definedName>
    <definedName name="_514002" localSheetId="11">#REF!</definedName>
    <definedName name="_514002">#REF!</definedName>
    <definedName name="_514003" localSheetId="9">#REF!</definedName>
    <definedName name="_514003" localSheetId="10">#REF!</definedName>
    <definedName name="_514003" localSheetId="11">#REF!</definedName>
    <definedName name="_514003">#REF!</definedName>
    <definedName name="_514011" localSheetId="9">#REF!</definedName>
    <definedName name="_514011" localSheetId="10">#REF!</definedName>
    <definedName name="_514011" localSheetId="11">#REF!</definedName>
    <definedName name="_514011">#REF!</definedName>
    <definedName name="_514012" localSheetId="9">#REF!</definedName>
    <definedName name="_514012" localSheetId="10">#REF!</definedName>
    <definedName name="_514012" localSheetId="11">#REF!</definedName>
    <definedName name="_514012">#REF!</definedName>
    <definedName name="_514013" localSheetId="9">#REF!</definedName>
    <definedName name="_514013" localSheetId="10">#REF!</definedName>
    <definedName name="_514013" localSheetId="11">#REF!</definedName>
    <definedName name="_514013">#REF!</definedName>
    <definedName name="_514014" localSheetId="9">#REF!</definedName>
    <definedName name="_514014" localSheetId="10">#REF!</definedName>
    <definedName name="_514014" localSheetId="11">#REF!</definedName>
    <definedName name="_514014">#REF!</definedName>
    <definedName name="_5140141" localSheetId="9">#REF!</definedName>
    <definedName name="_5140141" localSheetId="10">#REF!</definedName>
    <definedName name="_5140141" localSheetId="11">#REF!</definedName>
    <definedName name="_5140141">#REF!</definedName>
    <definedName name="_5140142" localSheetId="9">#REF!</definedName>
    <definedName name="_5140142" localSheetId="10">#REF!</definedName>
    <definedName name="_5140142" localSheetId="11">#REF!</definedName>
    <definedName name="_5140142">#REF!</definedName>
    <definedName name="_514015" localSheetId="9">#REF!</definedName>
    <definedName name="_514015" localSheetId="10">#REF!</definedName>
    <definedName name="_514015" localSheetId="11">#REF!</definedName>
    <definedName name="_514015">#REF!</definedName>
    <definedName name="_5140151" localSheetId="9">#REF!</definedName>
    <definedName name="_5140151" localSheetId="10">#REF!</definedName>
    <definedName name="_5140151" localSheetId="11">#REF!</definedName>
    <definedName name="_5140151">#REF!</definedName>
    <definedName name="_5140152" localSheetId="9">#REF!</definedName>
    <definedName name="_5140152" localSheetId="10">#REF!</definedName>
    <definedName name="_5140152" localSheetId="11">#REF!</definedName>
    <definedName name="_5140152">#REF!</definedName>
    <definedName name="_514016" localSheetId="9">#REF!</definedName>
    <definedName name="_514016" localSheetId="10">#REF!</definedName>
    <definedName name="_514016" localSheetId="11">#REF!</definedName>
    <definedName name="_514016">#REF!</definedName>
    <definedName name="_514017" localSheetId="9">#REF!</definedName>
    <definedName name="_514017" localSheetId="10">#REF!</definedName>
    <definedName name="_514017" localSheetId="11">#REF!</definedName>
    <definedName name="_514017">#REF!</definedName>
    <definedName name="_5140171" localSheetId="9">#REF!</definedName>
    <definedName name="_5140171" localSheetId="10">#REF!</definedName>
    <definedName name="_5140171" localSheetId="11">#REF!</definedName>
    <definedName name="_5140171">#REF!</definedName>
    <definedName name="_5140172" localSheetId="9">#REF!</definedName>
    <definedName name="_5140172" localSheetId="10">#REF!</definedName>
    <definedName name="_5140172" localSheetId="11">#REF!</definedName>
    <definedName name="_5140172">#REF!</definedName>
    <definedName name="_5140173" localSheetId="9">#REF!</definedName>
    <definedName name="_5140173" localSheetId="10">#REF!</definedName>
    <definedName name="_5140173" localSheetId="11">#REF!</definedName>
    <definedName name="_5140173">#REF!</definedName>
    <definedName name="_5140174" localSheetId="9">#REF!</definedName>
    <definedName name="_5140174" localSheetId="10">#REF!</definedName>
    <definedName name="_5140174" localSheetId="11">#REF!</definedName>
    <definedName name="_5140174">#REF!</definedName>
    <definedName name="_514018" localSheetId="9">#REF!</definedName>
    <definedName name="_514018" localSheetId="10">#REF!</definedName>
    <definedName name="_514018" localSheetId="11">#REF!</definedName>
    <definedName name="_514018">#REF!</definedName>
    <definedName name="_5140181" localSheetId="9">#REF!</definedName>
    <definedName name="_5140181" localSheetId="10">#REF!</definedName>
    <definedName name="_5140181" localSheetId="11">#REF!</definedName>
    <definedName name="_5140181">#REF!</definedName>
    <definedName name="_5140182" localSheetId="9">#REF!</definedName>
    <definedName name="_5140182" localSheetId="10">#REF!</definedName>
    <definedName name="_5140182" localSheetId="11">#REF!</definedName>
    <definedName name="_5140182">#REF!</definedName>
    <definedName name="_5140183" localSheetId="9">#REF!</definedName>
    <definedName name="_5140183" localSheetId="10">#REF!</definedName>
    <definedName name="_5140183" localSheetId="11">#REF!</definedName>
    <definedName name="_5140183">#REF!</definedName>
    <definedName name="_5140184" localSheetId="9">#REF!</definedName>
    <definedName name="_5140184" localSheetId="10">#REF!</definedName>
    <definedName name="_5140184" localSheetId="11">#REF!</definedName>
    <definedName name="_5140184">#REF!</definedName>
    <definedName name="_514019" localSheetId="9">#REF!</definedName>
    <definedName name="_514019" localSheetId="10">#REF!</definedName>
    <definedName name="_514019" localSheetId="11">#REF!</definedName>
    <definedName name="_514019">#REF!</definedName>
    <definedName name="_51402" localSheetId="9">#REF!</definedName>
    <definedName name="_51402" localSheetId="10">#REF!</definedName>
    <definedName name="_51402" localSheetId="11">#REF!</definedName>
    <definedName name="_51402">#REF!</definedName>
    <definedName name="_51500" localSheetId="9">#REF!</definedName>
    <definedName name="_51500" localSheetId="10">#REF!</definedName>
    <definedName name="_51500" localSheetId="11">#REF!</definedName>
    <definedName name="_51500">#REF!</definedName>
    <definedName name="_51501" localSheetId="9">#REF!</definedName>
    <definedName name="_51501" localSheetId="10">#REF!</definedName>
    <definedName name="_51501" localSheetId="11">#REF!</definedName>
    <definedName name="_51501">#REF!</definedName>
    <definedName name="_51502" localSheetId="9">#REF!</definedName>
    <definedName name="_51502" localSheetId="10">#REF!</definedName>
    <definedName name="_51502" localSheetId="11">#REF!</definedName>
    <definedName name="_51502">#REF!</definedName>
    <definedName name="_51503" localSheetId="9">#REF!</definedName>
    <definedName name="_51503" localSheetId="10">#REF!</definedName>
    <definedName name="_51503" localSheetId="11">#REF!</definedName>
    <definedName name="_51503">#REF!</definedName>
    <definedName name="_515031" localSheetId="9">#REF!</definedName>
    <definedName name="_515031" localSheetId="10">#REF!</definedName>
    <definedName name="_515031" localSheetId="11">#REF!</definedName>
    <definedName name="_515031">#REF!</definedName>
    <definedName name="_515032" localSheetId="9">#REF!</definedName>
    <definedName name="_515032" localSheetId="10">#REF!</definedName>
    <definedName name="_515032" localSheetId="11">#REF!</definedName>
    <definedName name="_515032">#REF!</definedName>
    <definedName name="_515033" localSheetId="9">#REF!</definedName>
    <definedName name="_515033" localSheetId="10">#REF!</definedName>
    <definedName name="_515033" localSheetId="11">#REF!</definedName>
    <definedName name="_515033">#REF!</definedName>
    <definedName name="_51504" localSheetId="9">#REF!</definedName>
    <definedName name="_51504" localSheetId="10">#REF!</definedName>
    <definedName name="_51504" localSheetId="11">#REF!</definedName>
    <definedName name="_51504">#REF!</definedName>
    <definedName name="_exp1" localSheetId="9">#REF!</definedName>
    <definedName name="_exp1" localSheetId="10">#REF!</definedName>
    <definedName name="_exp1" localSheetId="11">#REF!</definedName>
    <definedName name="_exp1">#REF!</definedName>
    <definedName name="_Fill" localSheetId="9" hidden="1">[1]pri_moy_mens!#REF!</definedName>
    <definedName name="_Fill" localSheetId="10" hidden="1">[2]pri_moy_mens!#REF!</definedName>
    <definedName name="_Fill" localSheetId="11" hidden="1">[1]pri_moy_mens!#REF!</definedName>
    <definedName name="_Fill" hidden="1">[1]pri_moy_mens!#REF!</definedName>
    <definedName name="_Fill1" localSheetId="9" hidden="1">#REF!</definedName>
    <definedName name="_Fill1" localSheetId="10" hidden="1">#REF!</definedName>
    <definedName name="_Fill1" localSheetId="11" hidden="1">#REF!</definedName>
    <definedName name="_Fill1" hidden="1">#REF!</definedName>
    <definedName name="_filterd" localSheetId="10" hidden="1">[3]C!$P$428:$T$428</definedName>
    <definedName name="_filterd" hidden="1">[4]C!$P$428:$T$428</definedName>
    <definedName name="_xlnm._FilterDatabase" localSheetId="10" hidden="1">[5]C!$P$428:$T$428</definedName>
    <definedName name="_xlnm._FilterDatabase" localSheetId="13" hidden="1">DEVERS!$A$1:$Q$55</definedName>
    <definedName name="_xlnm._FilterDatabase" localSheetId="0" hidden="1">SO_APU!$A$1:$O$131</definedName>
    <definedName name="_xlnm._FilterDatabase" localSheetId="3" hidden="1">'SO_APU 2022'!$A$1:$R$138</definedName>
    <definedName name="_xlnm._FilterDatabase" localSheetId="1" hidden="1">SO_APU_1!$A$1:$C$130</definedName>
    <definedName name="_xlnm._FilterDatabase" localSheetId="2" hidden="1">SO_APU_2021!$A$1:$O$131</definedName>
    <definedName name="_xlnm._FilterDatabase" localSheetId="5" hidden="1">SO_APU_2023!$A$1:$C$138</definedName>
    <definedName name="_xlnm._FilterDatabase" localSheetId="4" hidden="1">SO_APU_dec_2022!$A$1:$F$118</definedName>
    <definedName name="_xlnm._FilterDatabase" localSheetId="7" hidden="1">SO_APU_DEC_23!$A$1:$F$127</definedName>
    <definedName name="_xlnm._FilterDatabase" localSheetId="8" hidden="1">SO_APU_sept_23!$A$1:$E$125</definedName>
    <definedName name="_xlnm._FilterDatabase" hidden="1">[6]C!$P$428:$T$428</definedName>
    <definedName name="_imp1" localSheetId="9">#REF!</definedName>
    <definedName name="_imp1" localSheetId="10">#REF!</definedName>
    <definedName name="_imp1" localSheetId="11">#REF!</definedName>
    <definedName name="_imp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lo2" localSheetId="11" hidden="1">{"Main Economic Indicators",#N/A,FALSE,"C"}</definedName>
    <definedName name="_lo2" hidden="1">{"Main Economic Indicators",#N/A,FALSE,"C"}</definedName>
    <definedName name="_loi3" localSheetId="11" hidden="1">{"Main Economic Indicators",#N/A,FALSE,"C"}</definedName>
    <definedName name="_loi3" hidden="1">{"Main Economic Indicators",#N/A,FALSE,"C"}</definedName>
    <definedName name="_Order1" hidden="1">255</definedName>
    <definedName name="_Order2" hidden="1">255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hidden="1">#REF!</definedName>
    <definedName name="_PIB04" localSheetId="10">'[7]Quadro Macro'!$D$3</definedName>
    <definedName name="_PIB04">'[8]Quadro Macro'!$D$3</definedName>
    <definedName name="_PIB06" localSheetId="10">'[7]Quadro Macro'!$F$3</definedName>
    <definedName name="_PIB06">'[8]Quadro Macro'!$F$3</definedName>
    <definedName name="_PIB08" localSheetId="10">'[7]Quadro Macro'!$H$3</definedName>
    <definedName name="_PIB08">'[8]Quadro Macro'!$H$3</definedName>
    <definedName name="_Regression_Int" hidden="1">1</definedName>
    <definedName name="_Regression_Out" localSheetId="9" hidden="1">'[9]Work sheet'!#REF!</definedName>
    <definedName name="_Regression_Out" localSheetId="10" hidden="1">'[10]Work sheet'!#REF!</definedName>
    <definedName name="_Regression_Out" localSheetId="11" hidden="1">'[9]Work sheet'!#REF!</definedName>
    <definedName name="_Regression_Out" hidden="1">'[9]Work sheet'!#REF!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TAB1" localSheetId="9">#REF!</definedName>
    <definedName name="_TAB1" localSheetId="11">#REF!</definedName>
    <definedName name="_TAB1">#REF!</definedName>
    <definedName name="_Tab13" localSheetId="9">#REF!</definedName>
    <definedName name="_Tab13" localSheetId="10">#REF!</definedName>
    <definedName name="_Tab13" localSheetId="11">#REF!</definedName>
    <definedName name="_Tab13">#REF!</definedName>
    <definedName name="_Tab14" localSheetId="9">#REF!</definedName>
    <definedName name="_Tab14" localSheetId="10">#REF!</definedName>
    <definedName name="_Tab14" localSheetId="11">#REF!</definedName>
    <definedName name="_Tab14">#REF!</definedName>
    <definedName name="_Tab15" localSheetId="9">#REF!</definedName>
    <definedName name="_Tab15" localSheetId="10">#REF!</definedName>
    <definedName name="_Tab15" localSheetId="11">#REF!</definedName>
    <definedName name="_Tab15">#REF!</definedName>
    <definedName name="_Tab17" localSheetId="9">#REF!</definedName>
    <definedName name="_Tab17" localSheetId="10">#REF!</definedName>
    <definedName name="_Tab17" localSheetId="11">#REF!</definedName>
    <definedName name="_Tab17">#REF!</definedName>
    <definedName name="_Tab18" localSheetId="9">#REF!</definedName>
    <definedName name="_Tab18" localSheetId="10">#REF!</definedName>
    <definedName name="_Tab18" localSheetId="11">#REF!</definedName>
    <definedName name="_Tab18">#REF!</definedName>
    <definedName name="_Tab19" localSheetId="9">#REF!</definedName>
    <definedName name="_Tab19" localSheetId="10">#REF!</definedName>
    <definedName name="_Tab19" localSheetId="11">#REF!</definedName>
    <definedName name="_Tab19">#REF!</definedName>
    <definedName name="_Tab2" localSheetId="9">#REF!</definedName>
    <definedName name="_Tab2" localSheetId="10">#REF!</definedName>
    <definedName name="_Tab2" localSheetId="11">#REF!</definedName>
    <definedName name="_Tab2">#REF!</definedName>
    <definedName name="_Tab20" localSheetId="9">#REF!</definedName>
    <definedName name="_Tab20" localSheetId="10">#REF!</definedName>
    <definedName name="_Tab20" localSheetId="11">#REF!</definedName>
    <definedName name="_Tab20">#REF!</definedName>
    <definedName name="_Tab21" localSheetId="9">#REF!</definedName>
    <definedName name="_Tab21" localSheetId="10">#REF!</definedName>
    <definedName name="_Tab21" localSheetId="11">#REF!</definedName>
    <definedName name="_Tab21">#REF!</definedName>
    <definedName name="_Tab22" localSheetId="9">#REF!</definedName>
    <definedName name="_Tab22" localSheetId="10">#REF!</definedName>
    <definedName name="_Tab22" localSheetId="11">#REF!</definedName>
    <definedName name="_Tab22">#REF!</definedName>
    <definedName name="_Tab23" localSheetId="9">#REF!</definedName>
    <definedName name="_Tab23" localSheetId="10">#REF!</definedName>
    <definedName name="_Tab23" localSheetId="11">#REF!</definedName>
    <definedName name="_Tab23">#REF!</definedName>
    <definedName name="_Tab24" localSheetId="9">#REF!</definedName>
    <definedName name="_Tab24" localSheetId="10">#REF!</definedName>
    <definedName name="_Tab24" localSheetId="11">#REF!</definedName>
    <definedName name="_Tab24">#REF!</definedName>
    <definedName name="_Tab25" localSheetId="9">#REF!</definedName>
    <definedName name="_Tab25" localSheetId="10">#REF!</definedName>
    <definedName name="_Tab25" localSheetId="11">#REF!</definedName>
    <definedName name="_Tab25">#REF!</definedName>
    <definedName name="_Tab26" localSheetId="9">#REF!</definedName>
    <definedName name="_Tab26" localSheetId="10">#REF!</definedName>
    <definedName name="_Tab26" localSheetId="11">#REF!</definedName>
    <definedName name="_Tab26">#REF!</definedName>
    <definedName name="_Tab27" localSheetId="9">#REF!</definedName>
    <definedName name="_Tab27" localSheetId="10">#REF!</definedName>
    <definedName name="_Tab27" localSheetId="11">#REF!</definedName>
    <definedName name="_Tab27">#REF!</definedName>
    <definedName name="_Tab4" localSheetId="9">#REF!</definedName>
    <definedName name="_Tab4" localSheetId="10">#REF!</definedName>
    <definedName name="_Tab4" localSheetId="11">#REF!</definedName>
    <definedName name="_Tab4">#REF!</definedName>
    <definedName name="_Tab5" localSheetId="9">#REF!</definedName>
    <definedName name="_Tab5" localSheetId="10">#REF!</definedName>
    <definedName name="_Tab5" localSheetId="11">#REF!</definedName>
    <definedName name="_Tab5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Tab7" localSheetId="9">#REF!</definedName>
    <definedName name="_Tab7" localSheetId="10">#REF!</definedName>
    <definedName name="_Tab7" localSheetId="11">#REF!</definedName>
    <definedName name="_Tab7">#REF!</definedName>
    <definedName name="_Tab8" localSheetId="9">#REF!</definedName>
    <definedName name="_Tab8" localSheetId="10">#REF!</definedName>
    <definedName name="_Tab8" localSheetId="11">#REF!</definedName>
    <definedName name="_Tab8">#REF!</definedName>
    <definedName name="_Tab9" localSheetId="9">#REF!</definedName>
    <definedName name="_Tab9" localSheetId="10">#REF!</definedName>
    <definedName name="_Tab9" localSheetId="11">#REF!</definedName>
    <definedName name="_Tab9">#REF!</definedName>
    <definedName name="_tb3" localSheetId="9">#REF!</definedName>
    <definedName name="_tb3" localSheetId="11">#REF!</definedName>
    <definedName name="_tb3">#REF!</definedName>
    <definedName name="_tb5" localSheetId="9">#REF!</definedName>
    <definedName name="_tb5" localSheetId="11">#REF!</definedName>
    <definedName name="_tb5">#REF!</definedName>
    <definedName name="_tb6" localSheetId="9">#REF!</definedName>
    <definedName name="_tb6" localSheetId="11">#REF!</definedName>
    <definedName name="_tb6">#REF!</definedName>
    <definedName name="_tir02" localSheetId="9">#REF!</definedName>
    <definedName name="_tir02" localSheetId="10">#REF!</definedName>
    <definedName name="_tir02" localSheetId="11">#REF!</definedName>
    <definedName name="_tir02">#REF!</definedName>
    <definedName name="_tir2" localSheetId="9">#REF!</definedName>
    <definedName name="_tir2" localSheetId="10">#REF!</definedName>
    <definedName name="_tir2" localSheetId="11">#REF!</definedName>
    <definedName name="_tir2">#REF!</definedName>
    <definedName name="_tir3" localSheetId="9">#REF!</definedName>
    <definedName name="_tir3" localSheetId="10">#REF!</definedName>
    <definedName name="_tir3" localSheetId="11">#REF!</definedName>
    <definedName name="_tir3">#REF!</definedName>
    <definedName name="\A" localSheetId="9">#REF!</definedName>
    <definedName name="\A" localSheetId="10">#REF!</definedName>
    <definedName name="\A" localSheetId="11">#REF!</definedName>
    <definedName name="\A">#REF!</definedName>
    <definedName name="\B" localSheetId="9">#REF!</definedName>
    <definedName name="\B" localSheetId="10">#REF!</definedName>
    <definedName name="\B" localSheetId="11">#REF!</definedName>
    <definedName name="\B">#REF!</definedName>
    <definedName name="\C" localSheetId="9">#REF!</definedName>
    <definedName name="\C" localSheetId="10">#REF!</definedName>
    <definedName name="\C" localSheetId="11">#REF!</definedName>
    <definedName name="\C">#REF!</definedName>
    <definedName name="\E" localSheetId="9">#REF!</definedName>
    <definedName name="\E" localSheetId="10">#REF!</definedName>
    <definedName name="\E" localSheetId="11">#REF!</definedName>
    <definedName name="\E">#REF!</definedName>
    <definedName name="\I" localSheetId="9">#REF!</definedName>
    <definedName name="\I" localSheetId="10">#REF!</definedName>
    <definedName name="\I" localSheetId="11">#REF!</definedName>
    <definedName name="\I">#REF!</definedName>
    <definedName name="\P" localSheetId="9">#REF!</definedName>
    <definedName name="\P" localSheetId="10">#REF!</definedName>
    <definedName name="\P" localSheetId="11">#REF!</definedName>
    <definedName name="\P">#REF!</definedName>
    <definedName name="\S" localSheetId="9">#REF!</definedName>
    <definedName name="\S" localSheetId="10">#REF!</definedName>
    <definedName name="\S" localSheetId="11">#REF!</definedName>
    <definedName name="\S">#REF!</definedName>
    <definedName name="\V" localSheetId="9">#REF!</definedName>
    <definedName name="\V" localSheetId="10">#REF!</definedName>
    <definedName name="\V" localSheetId="11">#REF!</definedName>
    <definedName name="\V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A_COPIER" localSheetId="9">#REF!</definedName>
    <definedName name="A_COPIER" localSheetId="10">#REF!</definedName>
    <definedName name="A_COPIER" localSheetId="11">#REF!</definedName>
    <definedName name="A_COPIER">#REF!</definedName>
    <definedName name="aaaaaaa" localSheetId="11" hidden="1">{"Main Economic Indicators",#N/A,FALSE,"C"}</definedName>
    <definedName name="aaaaaaa" hidden="1">{"Main Economic Indicators",#N/A,FALSE,"C"}</definedName>
    <definedName name="aad" localSheetId="11" hidden="1">{"Main Economic Indicators",#N/A,FALSE,"C"}</definedName>
    <definedName name="aad" hidden="1">{"Main Economic Indicators",#N/A,FALSE,"C"}</definedName>
    <definedName name="aax" localSheetId="11" hidden="1">{"Main Economic Indicators",#N/A,FALSE,"C"}</definedName>
    <definedName name="aax" hidden="1">{"Main Economic Indicators",#N/A,FALSE,"C"}</definedName>
    <definedName name="ab.dr" localSheetId="11" hidden="1">{"Main Economic Indicators",#N/A,FALSE,"C"}</definedName>
    <definedName name="ab.dr" hidden="1">{"Main Economic Indicators",#N/A,FALSE,"C"}</definedName>
    <definedName name="abidjan" localSheetId="9">#REF!</definedName>
    <definedName name="abidjan" localSheetId="10">#REF!</definedName>
    <definedName name="abidjan" localSheetId="11">#REF!</definedName>
    <definedName name="abidjan">#REF!</definedName>
    <definedName name="Accrual" localSheetId="11">'[11]CODE LIST'!$M$3:$M$519</definedName>
    <definedName name="Accrual" localSheetId="13">'[12]CODE LIST'!$M$3:$M$519</definedName>
    <definedName name="Accrual" localSheetId="0">'[13]CODE LIST'!$M$3:$M$519</definedName>
    <definedName name="Accrual" localSheetId="3">'[14]CODE LIST'!$M$3:$M$519</definedName>
    <definedName name="Accrual" localSheetId="6">'[15]CODE LIST'!$M$3:$M$519</definedName>
    <definedName name="Accrual" localSheetId="2">'[13]CODE LIST'!$M$3:$M$519</definedName>
    <definedName name="Accrual" localSheetId="5">'[16]CODE LIST'!$M$3:$M$519</definedName>
    <definedName name="Accrual" localSheetId="4">'[17]CODE LIST'!$M$3:$M$519</definedName>
    <definedName name="Accrual" localSheetId="7">'[18]CODE LIST'!$M$3:$M$519</definedName>
    <definedName name="Accrual" localSheetId="8">'[19]CODE LIST'!$M$3:$M$519</definedName>
    <definedName name="Accrual">'[20]CODE LIST'!$M$3:$M$519</definedName>
    <definedName name="ACTIVATE" localSheetId="9">#REF!</definedName>
    <definedName name="ACTIVATE" localSheetId="10">#REF!</definedName>
    <definedName name="ACTIVATE" localSheetId="11">#REF!</definedName>
    <definedName name="ACTIVATE">#REF!</definedName>
    <definedName name="Adb" localSheetId="10">[21]CIRRs!$C$59</definedName>
    <definedName name="Adb">[22]CIRRs!$C$59</definedName>
    <definedName name="Adf" localSheetId="10">[21]CIRRs!$C$60</definedName>
    <definedName name="Adf">[22]CIRRs!$C$60</definedName>
    <definedName name="adssdd" localSheetId="11" hidden="1">{"Main Economic Indicators",#N/A,FALSE,"C"}</definedName>
    <definedName name="adssdd" hidden="1">{"Main Economic Indicators",#N/A,FALSE,"C"}</definedName>
    <definedName name="ag" localSheetId="11" hidden="1">{"Main Economic Indicators",#N/A,FALSE,"C"}</definedName>
    <definedName name="ag" hidden="1">{"Main Economic Indicators",#N/A,FALSE,"C"}</definedName>
    <definedName name="amort" localSheetId="10">[23]info!$A$5:$AP$18</definedName>
    <definedName name="amort">[24]info!$A$5:$AP$18</definedName>
    <definedName name="amort_trim" localSheetId="10">[25]DespCoefs!$A$54:$IV$54</definedName>
    <definedName name="amort_trim">[26]DespCoefs!$A$54:$IV$54</definedName>
    <definedName name="Annees" localSheetId="10">[27]Indicateurs!$C$6:$AF$6</definedName>
    <definedName name="Annees">[28]Indicateurs!$C$6:$AF$6</definedName>
    <definedName name="Années" localSheetId="10">'[29]TOFE Recettes - dépenses'!$K$5:$AG$5</definedName>
    <definedName name="Années">'[30]TOFE Recettes - dépenses'!$K$5:$AG$5</definedName>
    <definedName name="Anos" localSheetId="10">[31]PRESSUP!$A$5:$IV$5</definedName>
    <definedName name="Anos">[32]PRESSUP!$A$5:$IV$5</definedName>
    <definedName name="anscount" hidden="1">1</definedName>
    <definedName name="Arbitrage_NAEMAS2" localSheetId="9">#REF!</definedName>
    <definedName name="Arbitrage_NAEMAS2" localSheetId="11">#REF!</definedName>
    <definedName name="Arbitrage_NAEMAS2">#REF!</definedName>
    <definedName name="Arbitrage_production" localSheetId="9">#REF!</definedName>
    <definedName name="Arbitrage_production" localSheetId="11">#REF!</definedName>
    <definedName name="Arbitrage_production">#REF!</definedName>
    <definedName name="Assistance" localSheetId="9">#REF!</definedName>
    <definedName name="Assistance" localSheetId="10">#REF!</definedName>
    <definedName name="Assistance" localSheetId="11">#REF!</definedName>
    <definedName name="Assistance">#REF!</definedName>
    <definedName name="ASSUMPB" localSheetId="9">[33]E!#REF!</definedName>
    <definedName name="ASSUMPB" localSheetId="10">[34]E!#REF!</definedName>
    <definedName name="ASSUMPB" localSheetId="11">[33]E!#REF!</definedName>
    <definedName name="ASSUMPB">[33]E!#REF!</definedName>
    <definedName name="ATS" localSheetId="9">#REF!</definedName>
    <definedName name="ATS" localSheetId="10">#REF!</definedName>
    <definedName name="ATS" localSheetId="11">#REF!</definedName>
    <definedName name="ATS">#REF!</definedName>
    <definedName name="b" localSheetId="10" hidden="1">{"Main Economic Indicators",#N/A,FALSE,"C"}</definedName>
    <definedName name="b" localSheetId="11" hidden="1">{"Main Economic Indicators",#N/A,FALSE,"C"}</definedName>
    <definedName name="b" hidden="1">{"Main Economic Indicators",#N/A,FALSE,"C"}</definedName>
    <definedName name="Badea" localSheetId="10">[21]CIRRs!$C$67</definedName>
    <definedName name="Badea">[22]CIRRs!$C$67</definedName>
    <definedName name="Balança_capitais_BOP_USD" localSheetId="9">#REF!</definedName>
    <definedName name="Balança_capitais_BOP_USD" localSheetId="10">#REF!</definedName>
    <definedName name="Balança_capitais_BOP_USD" localSheetId="11">#REF!</definedName>
    <definedName name="Balança_capitais_BOP_USD">#REF!</definedName>
    <definedName name="BALANCE_AVRIL10" localSheetId="11">#REF!</definedName>
    <definedName name="BALANCE_AVRIL10" localSheetId="13">#REF!</definedName>
    <definedName name="BALANCE_AVRIL10" localSheetId="0">#REF!</definedName>
    <definedName name="BALANCE_AVRIL10" localSheetId="3">#REF!</definedName>
    <definedName name="BALANCE_AVRIL10" localSheetId="6">#REF!</definedName>
    <definedName name="BALANCE_AVRIL10" localSheetId="2">#REF!</definedName>
    <definedName name="BALANCE_AVRIL10" localSheetId="5">#REF!</definedName>
    <definedName name="BALANCE_AVRIL10" localSheetId="4">#REF!</definedName>
    <definedName name="BALANCE_AVRIL10" localSheetId="7">#REF!</definedName>
    <definedName name="BALANCE_AVRIL10" localSheetId="8">#REF!</definedName>
    <definedName name="BALANCE_AVRIL10">#REF!</definedName>
    <definedName name="BALANCE_FEV10" localSheetId="11">#REF!</definedName>
    <definedName name="BALANCE_FEV10" localSheetId="13">#REF!</definedName>
    <definedName name="BALANCE_FEV10" localSheetId="0">#REF!</definedName>
    <definedName name="BALANCE_FEV10" localSheetId="3">#REF!</definedName>
    <definedName name="BALANCE_FEV10" localSheetId="6">#REF!</definedName>
    <definedName name="BALANCE_FEV10" localSheetId="2">#REF!</definedName>
    <definedName name="BALANCE_FEV10" localSheetId="5">#REF!</definedName>
    <definedName name="BALANCE_FEV10" localSheetId="4">#REF!</definedName>
    <definedName name="BALANCE_FEV10" localSheetId="7">#REF!</definedName>
    <definedName name="BALANCE_FEV10" localSheetId="8">#REF!</definedName>
    <definedName name="BALANCE_FEV10">#REF!</definedName>
    <definedName name="BALANCE_JAN10" localSheetId="11">#REF!</definedName>
    <definedName name="BALANCE_JAN10" localSheetId="13">#REF!</definedName>
    <definedName name="BALANCE_JAN10" localSheetId="0">#REF!</definedName>
    <definedName name="BALANCE_JAN10" localSheetId="3">#REF!</definedName>
    <definedName name="BALANCE_JAN10" localSheetId="6">#REF!</definedName>
    <definedName name="BALANCE_JAN10" localSheetId="2">#REF!</definedName>
    <definedName name="BALANCE_JAN10" localSheetId="5">#REF!</definedName>
    <definedName name="BALANCE_JAN10" localSheetId="4">#REF!</definedName>
    <definedName name="BALANCE_JAN10" localSheetId="7">#REF!</definedName>
    <definedName name="BALANCE_JAN10" localSheetId="8">#REF!</definedName>
    <definedName name="BALANCE_JAN10">#REF!</definedName>
    <definedName name="BALANCE_JUN10" localSheetId="11">#REF!</definedName>
    <definedName name="BALANCE_JUN10" localSheetId="13">#REF!</definedName>
    <definedName name="BALANCE_JUN10" localSheetId="0">#REF!</definedName>
    <definedName name="BALANCE_JUN10" localSheetId="3">#REF!</definedName>
    <definedName name="BALANCE_JUN10" localSheetId="6">#REF!</definedName>
    <definedName name="BALANCE_JUN10" localSheetId="2">#REF!</definedName>
    <definedName name="BALANCE_JUN10" localSheetId="5">#REF!</definedName>
    <definedName name="BALANCE_JUN10" localSheetId="4">#REF!</definedName>
    <definedName name="BALANCE_JUN10" localSheetId="7">#REF!</definedName>
    <definedName name="BALANCE_JUN10" localSheetId="8">#REF!</definedName>
    <definedName name="BALANCE_JUN10">#REF!</definedName>
    <definedName name="BALANCE_MAI10" localSheetId="11">#REF!</definedName>
    <definedName name="BALANCE_MAI10" localSheetId="13">#REF!</definedName>
    <definedName name="BALANCE_MAI10" localSheetId="0">#REF!</definedName>
    <definedName name="BALANCE_MAI10" localSheetId="3">#REF!</definedName>
    <definedName name="BALANCE_MAI10" localSheetId="6">#REF!</definedName>
    <definedName name="BALANCE_MAI10" localSheetId="2">#REF!</definedName>
    <definedName name="BALANCE_MAI10" localSheetId="5">#REF!</definedName>
    <definedName name="BALANCE_MAI10" localSheetId="4">#REF!</definedName>
    <definedName name="BALANCE_MAI10" localSheetId="7">#REF!</definedName>
    <definedName name="BALANCE_MAI10" localSheetId="8">#REF!</definedName>
    <definedName name="BALANCE_MAI10">#REF!</definedName>
    <definedName name="BALANCE_MAR10" localSheetId="11">#REF!</definedName>
    <definedName name="BALANCE_MAR10" localSheetId="13">#REF!</definedName>
    <definedName name="BALANCE_MAR10" localSheetId="0">#REF!</definedName>
    <definedName name="BALANCE_MAR10" localSheetId="3">#REF!</definedName>
    <definedName name="BALANCE_MAR10" localSheetId="6">#REF!</definedName>
    <definedName name="BALANCE_MAR10" localSheetId="2">#REF!</definedName>
    <definedName name="BALANCE_MAR10" localSheetId="5">#REF!</definedName>
    <definedName name="BALANCE_MAR10" localSheetId="4">#REF!</definedName>
    <definedName name="BALANCE_MAR10" localSheetId="7">#REF!</definedName>
    <definedName name="BALANCE_MAR10" localSheetId="8">#REF!</definedName>
    <definedName name="BALANCE_MAR10">#REF!</definedName>
    <definedName name="Balancedespaiements">[35]Noyau!$A$830:$IV$907</definedName>
    <definedName name="_xlnm.Database" localSheetId="9">[36]Electricité!#REF!</definedName>
    <definedName name="_xlnm.Database" localSheetId="10">[37]Electricité!#REF!</definedName>
    <definedName name="_xlnm.Database" localSheetId="11">[36]Electricité!#REF!</definedName>
    <definedName name="_xlnm.Database">[36]Electricité!#REF!</definedName>
    <definedName name="Base_Indicateurs">[38]BE!$E$5:$R$149</definedName>
    <definedName name="bbbbbbg" localSheetId="11" hidden="1">{"Main Economic Indicators",#N/A,FALSE,"C"}</definedName>
    <definedName name="bbbbbbg" hidden="1">{"Main Economic Indicators",#N/A,FALSE,"C"}</definedName>
    <definedName name="BCEAO" localSheetId="9">#REF!,#REF!,#REF!,#REF!,#REF!,#REF!</definedName>
    <definedName name="BCEAO" localSheetId="10">#REF!,#REF!,#REF!,#REF!,#REF!,#REF!</definedName>
    <definedName name="BCEAO" localSheetId="11">#REF!,#REF!,#REF!,#REF!,#REF!,#REF!</definedName>
    <definedName name="BCEAO">#REF!,#REF!,#REF!,#REF!,#REF!,#REF!</definedName>
    <definedName name="BDEAC" localSheetId="10">[21]CIRRs!$C$70</definedName>
    <definedName name="BDEAC">[22]CIRRs!$C$70</definedName>
    <definedName name="BEABA" localSheetId="9">#REF!</definedName>
    <definedName name="BEABA" localSheetId="10">#REF!</definedName>
    <definedName name="BEABA" localSheetId="11">#REF!</definedName>
    <definedName name="BEABA">#REF!</definedName>
    <definedName name="BEC" localSheetId="9">#REF!</definedName>
    <definedName name="BEC" localSheetId="10">#REF!</definedName>
    <definedName name="BEC" localSheetId="11">#REF!</definedName>
    <definedName name="BEC">#REF!</definedName>
    <definedName name="BEF" localSheetId="10">[21]CIRRs!$C$79</definedName>
    <definedName name="BEF">[22]CIRRs!$C$79</definedName>
    <definedName name="bens" localSheetId="10">[25]DespCoefs!$C$15:$Q$15</definedName>
    <definedName name="bens">[26]DespCoefs!$C$15:$Q$15</definedName>
    <definedName name="BMS" localSheetId="9">#REF!</definedName>
    <definedName name="BMS" localSheetId="10">#REF!</definedName>
    <definedName name="BMS" localSheetId="11">#REF!</definedName>
    <definedName name="BMS">#REF!</definedName>
    <definedName name="bp" localSheetId="10">'[29]balance des payements'!$C$11:$Z$55</definedName>
    <definedName name="bp">'[30]balance des payements'!$C$11:$Z$55</definedName>
    <definedName name="bpfmi" localSheetId="9">#REF!</definedName>
    <definedName name="bpfmi" localSheetId="10">#REF!</definedName>
    <definedName name="bpfmi" localSheetId="11">#REF!</definedName>
    <definedName name="bpfmi">#REF!</definedName>
    <definedName name="BRmarges97_par_opération" localSheetId="9">#REF!</definedName>
    <definedName name="BRmarges97_par_opération" localSheetId="11">#REF!</definedName>
    <definedName name="BRmarges97_par_opération">#REF!</definedName>
    <definedName name="BROpération97" localSheetId="9">#REF!</definedName>
    <definedName name="BROpération97" localSheetId="11">#REF!</definedName>
    <definedName name="BROpération97">#REF!</definedName>
    <definedName name="BUDECO" localSheetId="9">#REF!</definedName>
    <definedName name="BUDECO" localSheetId="10">#REF!</definedName>
    <definedName name="BUDECO" localSheetId="11">#REF!</definedName>
    <definedName name="BUDECO">#REF!</definedName>
    <definedName name="BUDECO_N1" localSheetId="9">#REF!</definedName>
    <definedName name="BUDECO_N1" localSheetId="10">#REF!</definedName>
    <definedName name="BUDECO_N1" localSheetId="11">#REF!</definedName>
    <definedName name="BUDECO_N1">#REF!</definedName>
    <definedName name="BUDECO_N2" localSheetId="9">#REF!</definedName>
    <definedName name="BUDECO_N2" localSheetId="10">#REF!</definedName>
    <definedName name="BUDECO_N2" localSheetId="11">#REF!</definedName>
    <definedName name="BUDECO_N2">#REF!</definedName>
    <definedName name="BuiltIn_AutoFilter___1___0">"$#REF !.$GA$5:$GA$138"</definedName>
    <definedName name="BuiltIn_AutoFilter___2">"$#REF !.$IP$5:$IP$139"</definedName>
    <definedName name="BuiltIn_AutoFilter___3">"$#REF !.$FU$5:$FU$138"</definedName>
    <definedName name="BuiltIn_AutoFilter___4">"$#REF !.$GA$5:$GA$138"</definedName>
    <definedName name="BXS" localSheetId="9">#REF!</definedName>
    <definedName name="BXS" localSheetId="10">#REF!</definedName>
    <definedName name="BXS" localSheetId="11">#REF!</definedName>
    <definedName name="BXS">#REF!</definedName>
    <definedName name="CAD" localSheetId="9">#REF!</definedName>
    <definedName name="CAD" localSheetId="10">#REF!</definedName>
    <definedName name="CAD" localSheetId="11">#REF!</definedName>
    <definedName name="CAD">#REF!</definedName>
    <definedName name="Calcul_du_revenu_agrégé_des_ménages">[35]Noyau!$A$520:$K$537</definedName>
    <definedName name="Cambio" localSheetId="10">[31]PRESSUP!$A$161:$IV$161</definedName>
    <definedName name="Cambio">[32]PRESSUP!$A$161:$IV$161</definedName>
    <definedName name="Câmbio" localSheetId="9">#REF!</definedName>
    <definedName name="Câmbio" localSheetId="10">#REF!</definedName>
    <definedName name="Câmbio" localSheetId="11">#REF!</definedName>
    <definedName name="Câmbio">#REF!</definedName>
    <definedName name="cambio_2001" localSheetId="9">[39]Sheet3!#REF!</definedName>
    <definedName name="cambio_2001" localSheetId="10">[40]Sheet3!#REF!</definedName>
    <definedName name="cambio_2001" localSheetId="11">[39]Sheet3!#REF!</definedName>
    <definedName name="cambio_2001">[39]Sheet3!#REF!</definedName>
    <definedName name="cambio2000" localSheetId="9">[39]Sheet3!#REF!</definedName>
    <definedName name="cambio2000" localSheetId="10">[40]Sheet3!#REF!</definedName>
    <definedName name="cambio2000" localSheetId="11">[39]Sheet3!#REF!</definedName>
    <definedName name="cambio2000">[39]Sheet3!#REF!</definedName>
    <definedName name="capa" localSheetId="10">'[41]Prioritários 2001'!$E$11:$G$210</definedName>
    <definedName name="capa">'[42]Prioritários 2001'!$E$11:$G$210</definedName>
    <definedName name="CB" localSheetId="9">#REF!</definedName>
    <definedName name="CB" localSheetId="10">#REF!</definedName>
    <definedName name="CB" localSheetId="11">#REF!</definedName>
    <definedName name="CB">#REF!</definedName>
    <definedName name="ccode" localSheetId="9">#REF!</definedName>
    <definedName name="ccode" localSheetId="10">#REF!</definedName>
    <definedName name="ccode" localSheetId="11">#REF!</definedName>
    <definedName name="ccode">#REF!</definedName>
    <definedName name="cedeao" localSheetId="9" hidden="1">#REF!</definedName>
    <definedName name="cedeao" localSheetId="10" hidden="1">#REF!</definedName>
    <definedName name="cedeao" localSheetId="11" hidden="1">#REF!</definedName>
    <definedName name="cedeao" hidden="1">#REF!</definedName>
    <definedName name="CFA" localSheetId="10">[21]CIRRs!$C$81</definedName>
    <definedName name="CFA">[22]CIRRs!$C$81</definedName>
    <definedName name="CHF" localSheetId="9">#REF!</definedName>
    <definedName name="CHF" localSheetId="10">#REF!</definedName>
    <definedName name="CHF" localSheetId="11">#REF!</definedName>
    <definedName name="CHF">#REF!</definedName>
    <definedName name="CI_PRODUITS_LOCAUX" localSheetId="9">#REF!</definedName>
    <definedName name="CI_PRODUITS_LOCAUX" localSheetId="11">#REF!</definedName>
    <definedName name="CI_PRODUITS_LOCAUX">#REF!</definedName>
    <definedName name="cirr" localSheetId="9">#REF!</definedName>
    <definedName name="cirr" localSheetId="10">#REF!</definedName>
    <definedName name="cirr" localSheetId="11">#REF!</definedName>
    <definedName name="cirr">#REF!</definedName>
    <definedName name="cl_Economico" localSheetId="9">#REF!</definedName>
    <definedName name="cl_Economico" localSheetId="10">#REF!</definedName>
    <definedName name="cl_Economico" localSheetId="11">#REF!</definedName>
    <definedName name="cl_Economico">#REF!</definedName>
    <definedName name="cl_Funcional" localSheetId="9">#REF!</definedName>
    <definedName name="cl_Funcional" localSheetId="10">#REF!</definedName>
    <definedName name="cl_Funcional" localSheetId="11">#REF!</definedName>
    <definedName name="cl_Funcional">#REF!</definedName>
    <definedName name="cl_Organico" localSheetId="9">#REF!</definedName>
    <definedName name="cl_Organico" localSheetId="10">#REF!</definedName>
    <definedName name="cl_Organico" localSheetId="11">#REF!</definedName>
    <definedName name="cl_Organico">#REF!</definedName>
    <definedName name="cl_Territorial" localSheetId="9">#REF!</definedName>
    <definedName name="cl_Territorial" localSheetId="10">#REF!</definedName>
    <definedName name="cl_Territorial" localSheetId="11">#REF!</definedName>
    <definedName name="cl_Territorial">#REF!</definedName>
    <definedName name="cnpe" localSheetId="10" hidden="1">{"Main Economic Indicators",#N/A,FALSE,"C"}</definedName>
    <definedName name="cnpe" localSheetId="11" hidden="1">{"Main Economic Indicators",#N/A,FALSE,"C"}</definedName>
    <definedName name="cnpe" hidden="1">{"Main Economic Indicators",#N/A,FALSE,"C"}</definedName>
    <definedName name="CNY" localSheetId="9">#REF!</definedName>
    <definedName name="CNY" localSheetId="10">#REF!</definedName>
    <definedName name="CNY" localSheetId="11">#REF!</definedName>
    <definedName name="CNY">#REF!</definedName>
    <definedName name="COD" localSheetId="9">#REF!</definedName>
    <definedName name="COD" localSheetId="10">#REF!</definedName>
    <definedName name="COD" localSheetId="11">#REF!</definedName>
    <definedName name="COD">#REF!</definedName>
    <definedName name="Commerce_extérieur">[35]Noyau!$A$752:$K$827</definedName>
    <definedName name="Commission" localSheetId="9">#REF!</definedName>
    <definedName name="Commission" localSheetId="10">#REF!</definedName>
    <definedName name="Commission" localSheetId="11">#REF!</definedName>
    <definedName name="Commission">#REF!</definedName>
    <definedName name="Consommation_finale_des_ménages">[35]Noyau!$A$539:$O$553</definedName>
    <definedName name="CONTAS" localSheetId="9">#REF!</definedName>
    <definedName name="CONTAS" localSheetId="10">#REF!</definedName>
    <definedName name="CONTAS" localSheetId="11">#REF!</definedName>
    <definedName name="CONTAS">#REF!</definedName>
    <definedName name="copy" localSheetId="11" hidden="1">{"Main Economic Indicators",#N/A,FALSE,"C"}</definedName>
    <definedName name="copy" hidden="1">{"Main Economic Indicators",#N/A,FALSE,"C"}</definedName>
    <definedName name="corre" localSheetId="10">[43]Codigos!$K$3:$O$170</definedName>
    <definedName name="corre">[44]Codigos!$K$3:$O$170</definedName>
    <definedName name="corrente" localSheetId="10">[25]DespCoefs!$C$7:$Q$7</definedName>
    <definedName name="corrente">[26]DespCoefs!$C$7:$Q$7</definedName>
    <definedName name="CorrOgaPro" localSheetId="10">[45]Orgao!$HY$6:$IA$96</definedName>
    <definedName name="CorrOgaPro">[46]Orgao!$HY$6:$IA$96</definedName>
    <definedName name="corrOrg" localSheetId="10">[45]Orgao!$ID$5:$IH$107</definedName>
    <definedName name="corrOrg">[46]Orgao!$ID$5:$IH$107</definedName>
    <definedName name="COTFISC" localSheetId="9">#REF!</definedName>
    <definedName name="COTFISC" localSheetId="10">#REF!</definedName>
    <definedName name="COTFISC" localSheetId="11">#REF!</definedName>
    <definedName name="COTFISC">#REF!</definedName>
    <definedName name="Cotton_output" localSheetId="9">#REF!</definedName>
    <definedName name="Cotton_output" localSheetId="10">#REF!</definedName>
    <definedName name="Cotton_output" localSheetId="11">#REF!</definedName>
    <definedName name="Cotton_output">#REF!</definedName>
    <definedName name="cotweo" localSheetId="9">#REF!</definedName>
    <definedName name="cotweo" localSheetId="10">#REF!</definedName>
    <definedName name="cotweo" localSheetId="11">#REF!</definedName>
    <definedName name="cotweo">#REF!</definedName>
    <definedName name="COUNT" localSheetId="9">#REF!</definedName>
    <definedName name="COUNT" localSheetId="10">#REF!</definedName>
    <definedName name="COUNT" localSheetId="11">#REF!</definedName>
    <definedName name="COUNT">#REF!</definedName>
    <definedName name="COUNTER" localSheetId="9">#REF!</definedName>
    <definedName name="COUNTER" localSheetId="10">#REF!</definedName>
    <definedName name="COUNTER" localSheetId="11">#REF!</definedName>
    <definedName name="COUNTER">#REF!</definedName>
    <definedName name="Créditos" localSheetId="9">#REF!</definedName>
    <definedName name="Créditos" localSheetId="10">#REF!</definedName>
    <definedName name="Créditos" localSheetId="11">#REF!</definedName>
    <definedName name="Créditos">#REF!</definedName>
    <definedName name="critère2" localSheetId="9">#REF!</definedName>
    <definedName name="critère2" localSheetId="10">#REF!</definedName>
    <definedName name="critère2" localSheetId="11">#REF!</definedName>
    <definedName name="critère2">#REF!</definedName>
    <definedName name="csjsj" localSheetId="11" hidden="1">{"Main Economic Indicators",#N/A,FALSE,"C"}</definedName>
    <definedName name="csjsj" hidden="1">{"Main Economic Indicators",#N/A,FALSE,"C"}</definedName>
    <definedName name="CUSHIST" localSheetId="9">#REF!</definedName>
    <definedName name="CUSHIST" localSheetId="11">#REF!</definedName>
    <definedName name="CUSHIST">#REF!</definedName>
    <definedName name="CUSPRO" localSheetId="9">#REF!</definedName>
    <definedName name="CUSPRO" localSheetId="11">#REF!</definedName>
    <definedName name="CUSPRO">#REF!</definedName>
    <definedName name="Cwvu.IMPORT." localSheetId="9" hidden="1">#REF!</definedName>
    <definedName name="Cwvu.IMPORT." localSheetId="10" hidden="1">#REF!</definedName>
    <definedName name="Cwvu.IMPORT." localSheetId="11" hidden="1">#REF!</definedName>
    <definedName name="Cwvu.IMPORT." hidden="1">#REF!</definedName>
    <definedName name="dada" localSheetId="10">[47]OrgaGlobal!$C$8:$R$145</definedName>
    <definedName name="dada">[48]OrgaGlobal!$C$8:$R$145</definedName>
    <definedName name="dadi" localSheetId="10">[47]OrgaGlobal!$T$8:$W$97</definedName>
    <definedName name="dadi">[48]OrgaGlobal!$T$8:$W$97</definedName>
    <definedName name="dados" localSheetId="10">'[49]OC-Corrente2001 Revisao'!$AP$1:$AQ$105</definedName>
    <definedName name="dados">'[50]OC-Corrente2001 Revisao'!$AP$1:$AQ$105</definedName>
    <definedName name="Dates" localSheetId="9">#REF!</definedName>
    <definedName name="Dates" localSheetId="10">#REF!</definedName>
    <definedName name="Dates" localSheetId="11">#REF!</definedName>
    <definedName name="Dates">#REF!</definedName>
    <definedName name="DBA" localSheetId="9">#REF!</definedName>
    <definedName name="DBA" localSheetId="10">#REF!</definedName>
    <definedName name="DBA" localSheetId="11">#REF!</definedName>
    <definedName name="DBA">#REF!</definedName>
    <definedName name="dddddddd" localSheetId="11" hidden="1">{"Main Economic Indicators",#N/A,FALSE,"C"}</definedName>
    <definedName name="dddddddd" hidden="1">{"Main Economic Indicators",#N/A,FALSE,"C"}</definedName>
    <definedName name="ddddddr" localSheetId="11" hidden="1">{"Main Economic Indicators",#N/A,FALSE,"C"}</definedName>
    <definedName name="ddddddr" hidden="1">{"Main Economic Indicators",#N/A,FALSE,"C"}</definedName>
    <definedName name="dddf" localSheetId="11" hidden="1">{"Main Economic Indicators",#N/A,FALSE,"C"}</definedName>
    <definedName name="dddf" hidden="1">{"Main Economic Indicators",#N/A,FALSE,"C"}</definedName>
    <definedName name="dddg" localSheetId="11" hidden="1">{"Main Economic Indicators",#N/A,FALSE,"C"}</definedName>
    <definedName name="dddg" hidden="1">{"Main Economic Indicators",#N/A,FALSE,"C"}</definedName>
    <definedName name="ddfghg" localSheetId="11" hidden="1">{"Main Economic Indicators",#N/A,FALSE,"C"}</definedName>
    <definedName name="ddfghg" hidden="1">{"Main Economic Indicators",#N/A,FALSE,"C"}</definedName>
    <definedName name="DDR" localSheetId="9">#REF!</definedName>
    <definedName name="DDR" localSheetId="10">#REF!</definedName>
    <definedName name="DDR" localSheetId="11">#REF!</definedName>
    <definedName name="DDR">#REF!</definedName>
    <definedName name="Debtimf" localSheetId="9">'[51]4Debt'!#REF!</definedName>
    <definedName name="Debtimf" localSheetId="10">'[52]4Debt'!#REF!</definedName>
    <definedName name="Debtimf" localSheetId="11">'[51]4Debt'!#REF!</definedName>
    <definedName name="Debtimf">'[51]4Debt'!#REF!</definedName>
    <definedName name="debtimfa" localSheetId="9">'[51]4Debt'!#REF!</definedName>
    <definedName name="debtimfa" localSheetId="10">'[52]4Debt'!#REF!</definedName>
    <definedName name="debtimfa" localSheetId="11">'[51]4Debt'!#REF!</definedName>
    <definedName name="debtimfa">'[51]4Debt'!#REF!</definedName>
    <definedName name="DebtService" localSheetId="9">'[53]Indicators of Fund credit'!#REF!</definedName>
    <definedName name="DebtService" localSheetId="10">'[54]Indicators of Fund credit'!#REF!</definedName>
    <definedName name="DebtService" localSheetId="11">'[53]Indicators of Fund credit'!#REF!</definedName>
    <definedName name="DebtService">'[53]Indicators of Fund credit'!#REF!</definedName>
    <definedName name="DEF" localSheetId="9">#REF!</definedName>
    <definedName name="DEF" localSheetId="10">#REF!</definedName>
    <definedName name="DEF" localSheetId="11">#REF!</definedName>
    <definedName name="DEF">#REF!</definedName>
    <definedName name="Deflator_PIB" localSheetId="10">[31]PRESSUP!$A$12:$IV$12</definedName>
    <definedName name="Deflator_PIB">[32]PRESSUP!$A$12:$IV$12</definedName>
    <definedName name="DEM" localSheetId="10">[21]CIRRs!$C$84</definedName>
    <definedName name="DEM">[22]CIRRs!$C$84</definedName>
    <definedName name="Despesa_corrente" localSheetId="10">[31]DESPESA!$A$20:$IV$20</definedName>
    <definedName name="Despesa_corrente">[32]DESPESA!$A$20:$IV$20</definedName>
    <definedName name="dette" localSheetId="10">[29]Dette!$C$7:$Z$15</definedName>
    <definedName name="dette">[30]Dette!$C$7:$Z$15</definedName>
    <definedName name="dfg" localSheetId="10">'[55]13'!$A$1</definedName>
    <definedName name="dfg">'[56]13'!$A$1</definedName>
    <definedName name="dfghdghd" localSheetId="9">#REF!</definedName>
    <definedName name="dfghdghd" localSheetId="10">#REF!</definedName>
    <definedName name="dfghdghd" localSheetId="11">#REF!</definedName>
    <definedName name="dfghdghd">#REF!</definedName>
    <definedName name="dfghg3" localSheetId="11" hidden="1">{"Main Economic Indicators",#N/A,FALSE,"C"}</definedName>
    <definedName name="dfghg3" hidden="1">{"Main Economic Indicators",#N/A,FALSE,"C"}</definedName>
    <definedName name="dfgs" localSheetId="9">#REF!</definedName>
    <definedName name="dfgs" localSheetId="10">#REF!</definedName>
    <definedName name="dfgs" localSheetId="11">#REF!</definedName>
    <definedName name="dfgs">#REF!</definedName>
    <definedName name="dfsd" localSheetId="9">#REF!</definedName>
    <definedName name="dfsd" localSheetId="10">#REF!</definedName>
    <definedName name="dfsd" localSheetId="11">#REF!</definedName>
    <definedName name="dfsd">#REF!</definedName>
    <definedName name="dfsgsfgsdfgs" localSheetId="9">#REF!</definedName>
    <definedName name="dfsgsfgsdfgs" localSheetId="10">#REF!</definedName>
    <definedName name="dfsgsfgsdfgs" localSheetId="11">#REF!</definedName>
    <definedName name="dfsgsfgsdfgs">#REF!</definedName>
    <definedName name="dghetrewty" localSheetId="9">#REF!</definedName>
    <definedName name="dghetrewty" localSheetId="10">#REF!</definedName>
    <definedName name="dghetrewty" localSheetId="11">#REF!</definedName>
    <definedName name="dghetrewty">#REF!</definedName>
    <definedName name="Discount_IDA" localSheetId="9">#REF!</definedName>
    <definedName name="Discount_IDA" localSheetId="10">#REF!</definedName>
    <definedName name="Discount_IDA" localSheetId="11">#REF!</definedName>
    <definedName name="Discount_IDA">#REF!</definedName>
    <definedName name="Discount_NC" localSheetId="9">[57]NPV_base!#REF!</definedName>
    <definedName name="Discount_NC" localSheetId="10">[58]NPV_base!#REF!</definedName>
    <definedName name="Discount_NC" localSheetId="11">[57]NPV_base!#REF!</definedName>
    <definedName name="Discount_NC">[57]NPV_base!#REF!</definedName>
    <definedName name="DiscountRate" localSheetId="9">#REF!</definedName>
    <definedName name="DiscountRate" localSheetId="10">#REF!</definedName>
    <definedName name="DiscountRate" localSheetId="11">#REF!</definedName>
    <definedName name="DiscountRate">#REF!</definedName>
    <definedName name="DKK" localSheetId="9">#REF!</definedName>
    <definedName name="DKK" localSheetId="10">#REF!</definedName>
    <definedName name="DKK" localSheetId="11">#REF!</definedName>
    <definedName name="DKK">#REF!</definedName>
    <definedName name="DM" localSheetId="9">#REF!</definedName>
    <definedName name="DM" localSheetId="10">#REF!</definedName>
    <definedName name="DM" localSheetId="11">#REF!</definedName>
    <definedName name="DM">#REF!</definedName>
    <definedName name="Donativos" localSheetId="9">#REF!</definedName>
    <definedName name="Donativos" localSheetId="10">#REF!</definedName>
    <definedName name="Donativos" localSheetId="11">#REF!</definedName>
    <definedName name="Donativos">#REF!</definedName>
    <definedName name="DOUA" localSheetId="9">#REF!</definedName>
    <definedName name="DOUA" localSheetId="10">#REF!</definedName>
    <definedName name="DOUA" localSheetId="11">#REF!</definedName>
    <definedName name="DOUA">#REF!</definedName>
    <definedName name="DTS" localSheetId="9">#REF!</definedName>
    <definedName name="DTS" localSheetId="10">#REF!</definedName>
    <definedName name="DTS" localSheetId="11">#REF!</definedName>
    <definedName name="DTS">#REF!</definedName>
    <definedName name="EDSSNAME" localSheetId="9">#REF!</definedName>
    <definedName name="EDSSNAME" localSheetId="10">#REF!</definedName>
    <definedName name="EDSSNAME" localSheetId="11">#REF!</definedName>
    <definedName name="EDSSNAME">#REF!</definedName>
    <definedName name="EDSSTABLES" localSheetId="9">#REF!</definedName>
    <definedName name="EDSSTABLES" localSheetId="10">#REF!</definedName>
    <definedName name="EDSSTABLES" localSheetId="11">#REF!</definedName>
    <definedName name="EDSSTABLES">#REF!</definedName>
    <definedName name="EDSSTIME" localSheetId="9">#REF!</definedName>
    <definedName name="EDSSTIME" localSheetId="10">#REF!</definedName>
    <definedName name="EDSSTIME" localSheetId="11">#REF!</definedName>
    <definedName name="EDSSTIME">#REF!</definedName>
    <definedName name="eee.rvbn" localSheetId="11" hidden="1">{"Main Economic Indicators",#N/A,FALSE,"C"}</definedName>
    <definedName name="eee.rvbn" hidden="1">{"Main Economic Indicators",#N/A,FALSE,"C"}</definedName>
    <definedName name="eeet" localSheetId="11" hidden="1">{"Main Economic Indicators",#N/A,FALSE,"C"}</definedName>
    <definedName name="eeet" hidden="1">{"Main Economic Indicators",#N/A,FALSE,"C"}</definedName>
    <definedName name="Empbiens_Naémas2" localSheetId="9">#REF!</definedName>
    <definedName name="Empbiens_Naémas2" localSheetId="11">#REF!</definedName>
    <definedName name="Empbiens_Naémas2">#REF!</definedName>
    <definedName name="Emplois">'[35]Bilan alimentaire'!$D$70:$Y$131</definedName>
    <definedName name="Emplois_produits_BR" localSheetId="9">#REF!</definedName>
    <definedName name="Emplois_produits_BR" localSheetId="11">#REF!</definedName>
    <definedName name="Emplois_produits_BR">#REF!</definedName>
    <definedName name="EMPLOYEUR" localSheetId="10">'[59]Bilan alimentaire'!$D$70:$Y$131</definedName>
    <definedName name="EMPLOYEUR">'[60]Bilan alimentaire'!$D$70:$Y$131</definedName>
    <definedName name="encours2" localSheetId="9">[61]Feuil2!#REF!</definedName>
    <definedName name="encours2" localSheetId="10">[62]Feuil2!#REF!</definedName>
    <definedName name="encours2" localSheetId="11">[61]Feuil2!#REF!</definedName>
    <definedName name="encours2">[61]Feuil2!#REF!</definedName>
    <definedName name="ENDE" localSheetId="9">#REF!</definedName>
    <definedName name="ENDE" localSheetId="10">#REF!</definedName>
    <definedName name="ENDE" localSheetId="11">#REF!</definedName>
    <definedName name="ENDE">#REF!</definedName>
    <definedName name="énergiecomciale" localSheetId="9">#REF!</definedName>
    <definedName name="énergiecomciale" localSheetId="10">#REF!</definedName>
    <definedName name="énergiecomciale" localSheetId="11">#REF!</definedName>
    <definedName name="énergiecomciale">#REF!</definedName>
    <definedName name="enviro1.1" localSheetId="9">#REF!</definedName>
    <definedName name="enviro1.1" localSheetId="10">#REF!</definedName>
    <definedName name="enviro1.1" localSheetId="11">#REF!</definedName>
    <definedName name="enviro1.1">#REF!</definedName>
    <definedName name="EPA" localSheetId="11">'[63]1996'!#REF!</definedName>
    <definedName name="EPA" localSheetId="13">'[63]1996'!#REF!</definedName>
    <definedName name="EPA" localSheetId="0">'[63]1996'!#REF!</definedName>
    <definedName name="EPA" localSheetId="3">'[63]1996'!#REF!</definedName>
    <definedName name="EPA" localSheetId="6">'[63]1996'!#REF!</definedName>
    <definedName name="EPA" localSheetId="2">'[63]1996'!#REF!</definedName>
    <definedName name="EPA" localSheetId="5">'[63]1996'!#REF!</definedName>
    <definedName name="EPA" localSheetId="4">'[63]1996'!#REF!</definedName>
    <definedName name="EPA" localSheetId="7">'[63]1996'!#REF!</definedName>
    <definedName name="EPA" localSheetId="8">'[63]1996'!#REF!</definedName>
    <definedName name="EPA">'[64]1996'!#REF!</definedName>
    <definedName name="EpInv">'[65]Epargne - Investisement'!$C$12:$Z$22</definedName>
    <definedName name="ER" localSheetId="9">'[51]4Debt'!#REF!</definedName>
    <definedName name="ER" localSheetId="10">'[52]4Debt'!#REF!</definedName>
    <definedName name="ER" localSheetId="11">'[51]4Debt'!#REF!</definedName>
    <definedName name="ER">'[51]4Debt'!#REF!</definedName>
    <definedName name="erdorado" localSheetId="10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erdorado" localSheetId="1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erdorad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ERE">'[65]Equilibre emplois - ressources'!$E$16:$AG$44</definedName>
    <definedName name="ERE_br" localSheetId="9">#REF!</definedName>
    <definedName name="ERE_br" localSheetId="11">#REF!</definedName>
    <definedName name="ERE_br">#REF!</definedName>
    <definedName name="erg" localSheetId="11" hidden="1">{"Main Economic Indicators",#N/A,FALSE,"C"}</definedName>
    <definedName name="erg" hidden="1">{"Main Economic Indicators",#N/A,FALSE,"C"}</definedName>
    <definedName name="ergferger" localSheetId="11" hidden="1">{"Main Economic Indicators",#N/A,FALSE,"C"}</definedName>
    <definedName name="ergferger" hidden="1">{"Main Economic Indicators",#N/A,FALSE,"C"}</definedName>
    <definedName name="ertyer" localSheetId="10">'[55]5'!$A$1</definedName>
    <definedName name="ertyer">'[56]5'!$A$1</definedName>
    <definedName name="ertyert" localSheetId="9">#REF!</definedName>
    <definedName name="ertyert" localSheetId="10">#REF!</definedName>
    <definedName name="ertyert" localSheetId="11">#REF!</definedName>
    <definedName name="ertyert">#REF!</definedName>
    <definedName name="ertyertyey" localSheetId="9">#REF!</definedName>
    <definedName name="ertyertyey" localSheetId="10">#REF!</definedName>
    <definedName name="ertyertyey" localSheetId="11">#REF!</definedName>
    <definedName name="ertyertyey">#REF!</definedName>
    <definedName name="ertyryety" localSheetId="10">'[55]10'!$A$1</definedName>
    <definedName name="ertyryety">'[56]10'!$A$1</definedName>
    <definedName name="erwt" localSheetId="11" hidden="1">{"Main Economic Indicators",#N/A,FALSE,"C"}</definedName>
    <definedName name="erwt" hidden="1">{"Main Economic Indicators",#N/A,FALSE,"C"}</definedName>
    <definedName name="essai" localSheetId="9">#REF!</definedName>
    <definedName name="essai" localSheetId="10">#REF!</definedName>
    <definedName name="essai" localSheetId="11">#REF!</definedName>
    <definedName name="essai">#REF!</definedName>
    <definedName name="ety" localSheetId="10">'[55]6'!$A$1</definedName>
    <definedName name="ety">'[56]6'!$A$1</definedName>
    <definedName name="Excel_BuiltIn_Print_Area_1" localSheetId="9">(#REF!,#REF!,#REF!)</definedName>
    <definedName name="Excel_BuiltIn_Print_Area_1" localSheetId="10">(#REF!,#REF!,#REF!)</definedName>
    <definedName name="Excel_BuiltIn_Print_Area_1" localSheetId="11">(#REF!,#REF!,#REF!)</definedName>
    <definedName name="Excel_BuiltIn_Print_Area_1">(#REF!,#REF!,#REF!)</definedName>
    <definedName name="Excel_BuiltIn_Print_Area_1_1" localSheetId="9">(#REF!,#REF!)</definedName>
    <definedName name="Excel_BuiltIn_Print_Area_1_1" localSheetId="10">(#REF!,#REF!)</definedName>
    <definedName name="Excel_BuiltIn_Print_Area_1_1" localSheetId="11">(#REF!,#REF!)</definedName>
    <definedName name="Excel_BuiltIn_Print_Area_1_1">(#REF!,#REF!)</definedName>
    <definedName name="Excel_BuiltIn_Print_Area_11" localSheetId="9">#REF!</definedName>
    <definedName name="Excel_BuiltIn_Print_Area_11" localSheetId="11">#REF!</definedName>
    <definedName name="Excel_BuiltIn_Print_Area_11">#REF!</definedName>
    <definedName name="Excel_BuiltIn_Print_Area_11_1" localSheetId="9">#REF!</definedName>
    <definedName name="Excel_BuiltIn_Print_Area_11_1" localSheetId="11">#REF!</definedName>
    <definedName name="Excel_BuiltIn_Print_Area_11_1">#REF!</definedName>
    <definedName name="Excel_BuiltIn_Print_Area_2" localSheetId="9">#REF!</definedName>
    <definedName name="Excel_BuiltIn_Print_Area_2" localSheetId="11">#REF!</definedName>
    <definedName name="Excel_BuiltIn_Print_Area_2">#REF!</definedName>
    <definedName name="Excel_BuiltIn_Print_Area_2_1" localSheetId="9">#REF!</definedName>
    <definedName name="Excel_BuiltIn_Print_Area_2_1" localSheetId="10">#REF!</definedName>
    <definedName name="Excel_BuiltIn_Print_Area_2_1" localSheetId="11">#REF!</definedName>
    <definedName name="Excel_BuiltIn_Print_Area_2_1">#REF!</definedName>
    <definedName name="Excel_BuiltIn_Print_Area_2_1_1" localSheetId="9">#REF!</definedName>
    <definedName name="Excel_BuiltIn_Print_Area_2_1_1" localSheetId="11">#REF!</definedName>
    <definedName name="Excel_BuiltIn_Print_Area_2_1_1">#REF!</definedName>
    <definedName name="Excel_BuiltIn_Print_Area_2_1_1_1" localSheetId="9">#REF!</definedName>
    <definedName name="Excel_BuiltIn_Print_Area_2_1_1_1" localSheetId="11">#REF!</definedName>
    <definedName name="Excel_BuiltIn_Print_Area_2_1_1_1">#REF!</definedName>
    <definedName name="exp" localSheetId="9">#REF!</definedName>
    <definedName name="exp" localSheetId="10">#REF!</definedName>
    <definedName name="exp" localSheetId="11">#REF!</definedName>
    <definedName name="exp">#REF!</definedName>
    <definedName name="f" localSheetId="11" hidden="1">{"Main Economic Indicators",#N/A,FALSE,"C"}</definedName>
    <definedName name="f" hidden="1">{"Main Economic Indicators",#N/A,FALSE,"C"}</definedName>
    <definedName name="fabien" localSheetId="11" hidden="1">{"Main Economic Indicators",#N/A,FALSE,"C"}</definedName>
    <definedName name="fabien" hidden="1">{"Main Economic Indicators",#N/A,FALSE,"C"}</definedName>
    <definedName name="fffffft" localSheetId="11" hidden="1">{"Main Economic Indicators",#N/A,FALSE,"C"}</definedName>
    <definedName name="fffffft" hidden="1">{"Main Economic Indicators",#N/A,FALSE,"C"}</definedName>
    <definedName name="fg" localSheetId="10">'[55]19'!$A$1</definedName>
    <definedName name="fg">'[56]19'!$A$1</definedName>
    <definedName name="fgd" localSheetId="9">#REF!</definedName>
    <definedName name="fgd" localSheetId="10">#REF!</definedName>
    <definedName name="fgd" localSheetId="11">#REF!</definedName>
    <definedName name="fgd">#REF!</definedName>
    <definedName name="FIDR" localSheetId="9">#REF!</definedName>
    <definedName name="FIDR" localSheetId="10">#REF!</definedName>
    <definedName name="FIDR" localSheetId="11">#REF!</definedName>
    <definedName name="FIDR">#REF!</definedName>
    <definedName name="fisdebt" localSheetId="9">'[51]4Debt'!#REF!</definedName>
    <definedName name="fisdebt" localSheetId="10">'[52]4Debt'!#REF!</definedName>
    <definedName name="fisdebt" localSheetId="11">'[51]4Debt'!#REF!</definedName>
    <definedName name="fisdebt">'[51]4Debt'!#REF!</definedName>
    <definedName name="_xlnm.Recorder" localSheetId="9">#REF!</definedName>
    <definedName name="_xlnm.Recorder" localSheetId="10">#REF!</definedName>
    <definedName name="_xlnm.Recorder" localSheetId="11">#REF!</definedName>
    <definedName name="_xlnm.Recorder">#REF!</definedName>
    <definedName name="FR" localSheetId="9">#REF!</definedName>
    <definedName name="FR" localSheetId="10">#REF!</definedName>
    <definedName name="FR" localSheetId="11">#REF!</definedName>
    <definedName name="FR">#REF!</definedName>
    <definedName name="g" localSheetId="9">#REF!</definedName>
    <definedName name="g" localSheetId="10">#REF!</definedName>
    <definedName name="g" localSheetId="11">#REF!</definedName>
    <definedName name="g">#REF!</definedName>
    <definedName name="garado" localSheetId="10" hidden="1">{"Main Economic Indicators",#N/A,FALSE,"C"}</definedName>
    <definedName name="garado" localSheetId="11" hidden="1">{"Main Economic Indicators",#N/A,FALSE,"C"}</definedName>
    <definedName name="garado" hidden="1">{"Main Economic Indicators",#N/A,FALSE,"C"}</definedName>
    <definedName name="gaspardo" localSheetId="10" hidden="1">{"Main Economic Indicators",#N/A,FALSE,"C"}</definedName>
    <definedName name="gaspardo" localSheetId="11" hidden="1">{"Main Economic Indicators",#N/A,FALSE,"C"}</definedName>
    <definedName name="gaspardo" hidden="1">{"Main Economic Indicators",#N/A,FALSE,"C"}</definedName>
    <definedName name="gasparido" localSheetId="9">#REF!</definedName>
    <definedName name="gasparido" localSheetId="10">#REF!</definedName>
    <definedName name="gasparido" localSheetId="11">#REF!</definedName>
    <definedName name="gasparido">#REF!</definedName>
    <definedName name="GCED" localSheetId="9">#REF!</definedName>
    <definedName name="GCED" localSheetId="10">#REF!</definedName>
    <definedName name="GCED" localSheetId="11">#REF!</definedName>
    <definedName name="GCED">#REF!</definedName>
    <definedName name="GCEE" localSheetId="9">#REF!</definedName>
    <definedName name="GCEE" localSheetId="10">#REF!</definedName>
    <definedName name="GCEE" localSheetId="11">#REF!</definedName>
    <definedName name="GCEE">#REF!</definedName>
    <definedName name="GCEES" localSheetId="9">#REF!</definedName>
    <definedName name="GCEES" localSheetId="10">#REF!</definedName>
    <definedName name="GCEES" localSheetId="11">#REF!</definedName>
    <definedName name="GCEES">#REF!</definedName>
    <definedName name="GCEG" localSheetId="9">#REF!</definedName>
    <definedName name="GCEG" localSheetId="10">#REF!</definedName>
    <definedName name="GCEG" localSheetId="11">#REF!</definedName>
    <definedName name="GCEG">#REF!</definedName>
    <definedName name="GCEH" localSheetId="9">#REF!</definedName>
    <definedName name="GCEH" localSheetId="10">#REF!</definedName>
    <definedName name="GCEH" localSheetId="11">#REF!</definedName>
    <definedName name="GCEH">#REF!</definedName>
    <definedName name="GCEI_D" localSheetId="9">#REF!</definedName>
    <definedName name="GCEI_D" localSheetId="10">#REF!</definedName>
    <definedName name="GCEI_D" localSheetId="11">#REF!</definedName>
    <definedName name="GCEI_D">#REF!</definedName>
    <definedName name="GCEI_F" localSheetId="9">#REF!</definedName>
    <definedName name="GCEI_F" localSheetId="10">#REF!</definedName>
    <definedName name="GCEI_F" localSheetId="11">#REF!</definedName>
    <definedName name="GCEI_F">#REF!</definedName>
    <definedName name="GCENL" localSheetId="9">#REF!</definedName>
    <definedName name="GCENL" localSheetId="10">#REF!</definedName>
    <definedName name="GCENL" localSheetId="11">#REF!</definedName>
    <definedName name="GCENL">#REF!</definedName>
    <definedName name="GCESWH" localSheetId="9">#REF!</definedName>
    <definedName name="GCESWH" localSheetId="10">#REF!</definedName>
    <definedName name="GCESWH" localSheetId="11">#REF!</definedName>
    <definedName name="GCESWH">#REF!</definedName>
    <definedName name="GCEW" localSheetId="9">#REF!</definedName>
    <definedName name="GCEW" localSheetId="10">#REF!</definedName>
    <definedName name="GCEW" localSheetId="11">#REF!</definedName>
    <definedName name="GCEW">#REF!</definedName>
    <definedName name="GCG" localSheetId="9">#REF!</definedName>
    <definedName name="GCG" localSheetId="10">#REF!</definedName>
    <definedName name="GCG" localSheetId="11">#REF!</definedName>
    <definedName name="GCG">#REF!</definedName>
    <definedName name="GCGC" localSheetId="9">#REF!</definedName>
    <definedName name="GCGC" localSheetId="10">#REF!</definedName>
    <definedName name="GCGC" localSheetId="11">#REF!</definedName>
    <definedName name="GCGC">#REF!</definedName>
    <definedName name="GGENL" localSheetId="9">#REF!</definedName>
    <definedName name="GGENL" localSheetId="10">#REF!</definedName>
    <definedName name="GGENL" localSheetId="11">#REF!</definedName>
    <definedName name="GGENL">#REF!</definedName>
    <definedName name="GGGG" localSheetId="9">[66]INDICES3!#REF!</definedName>
    <definedName name="GGGG" localSheetId="10">[67]INDICES3!#REF!</definedName>
    <definedName name="GGGG" localSheetId="11">[66]INDICES3!#REF!</definedName>
    <definedName name="GGGG">[66]INDICES3!#REF!</definedName>
    <definedName name="h" localSheetId="9">#REF!</definedName>
    <definedName name="h" localSheetId="10">#REF!</definedName>
    <definedName name="h" localSheetId="11">#REF!</definedName>
    <definedName name="h">#REF!</definedName>
    <definedName name="IMPACT" localSheetId="9">#REF!</definedName>
    <definedName name="IMPACT" localSheetId="11">#REF!</definedName>
    <definedName name="IMPACT">#REF!</definedName>
    <definedName name="_xlnm.Print_Titles" localSheetId="10">[68]SUMMARY!$B$1:$D$65536,[68]SUMMARY!$A$3:$IV$5</definedName>
    <definedName name="_xlnm.Print_Titles">[69]SUMMARY!$B$1:$D$65536,[69]SUMMARY!$A$3:$IV$5</definedName>
    <definedName name="IN_FROM_MON" localSheetId="9">#REF!</definedName>
    <definedName name="IN_FROM_MON" localSheetId="11">#REF!</definedName>
    <definedName name="IN_FROM_MON">#REF!</definedName>
    <definedName name="INDIC" localSheetId="10">[70]Indicateurs!$C$30:$AK$119</definedName>
    <definedName name="INDIC">[71]Indicateurs!$C$30:$AK$119</definedName>
    <definedName name="indic.french" localSheetId="11" hidden="1">{"Main Economic Indicators",#N/A,FALSE,"C"}</definedName>
    <definedName name="indic.french" hidden="1">{"Main Economic Indicators",#N/A,FALSE,"C"}</definedName>
    <definedName name="indic.french1" localSheetId="11" hidden="1">{"Main Economic Indicators",#N/A,FALSE,"C"}</definedName>
    <definedName name="indic.french1" hidden="1">{"Main Economic Indicators",#N/A,FALSE,"C"}</definedName>
    <definedName name="info" localSheetId="9">#REF!</definedName>
    <definedName name="info" localSheetId="10">#REF!</definedName>
    <definedName name="info" localSheetId="11">#REF!</definedName>
    <definedName name="info">#REF!</definedName>
    <definedName name="infonotes" localSheetId="9">#REF!</definedName>
    <definedName name="infonotes" localSheetId="10">#REF!</definedName>
    <definedName name="infonotes" localSheetId="11">#REF!</definedName>
    <definedName name="infonotes">#REF!</definedName>
    <definedName name="inter3" localSheetId="11" hidden="1">{"Main Economic Indicators",#N/A,FALSE,"C"}</definedName>
    <definedName name="inter3" hidden="1">{"Main Economic Indicators",#N/A,FALSE,"C"}</definedName>
    <definedName name="Interest_NC" localSheetId="9">[57]NPV_base!#REF!</definedName>
    <definedName name="Interest_NC" localSheetId="10">[58]NPV_base!#REF!</definedName>
    <definedName name="Interest_NC" localSheetId="11">[57]NPV_base!#REF!</definedName>
    <definedName name="Interest_NC">[57]NPV_base!#REF!</definedName>
    <definedName name="interrelations3" localSheetId="11" hidden="1">{"Main Economic Indicators",#N/A,FALSE,"C"}</definedName>
    <definedName name="interrelations3" hidden="1">{"Main Economic Indicators",#N/A,FALSE,"C"}</definedName>
    <definedName name="Investissement">[35]Noyau!$A$555:$K$568</definedName>
    <definedName name="kama" localSheetId="11" hidden="1">{"Main Economic Indicators",#N/A,FALSE,"C"}</definedName>
    <definedName name="kama" hidden="1">{"Main Economic Indicators",#N/A,FALSE,"C"}</definedName>
    <definedName name="LE" localSheetId="9">#REF!</definedName>
    <definedName name="LE" localSheetId="10">#REF!</definedName>
    <definedName name="LE" localSheetId="11">#REF!</definedName>
    <definedName name="LE">#REF!</definedName>
    <definedName name="LEGC" localSheetId="9">#REF!</definedName>
    <definedName name="LEGC" localSheetId="10">#REF!</definedName>
    <definedName name="LEGC" localSheetId="11">#REF!</definedName>
    <definedName name="LEGC">#REF!</definedName>
    <definedName name="LISTAB02">[72]RecTo!$A$2:$IV$6</definedName>
    <definedName name="LOUMCUS" localSheetId="9">#REF!</definedName>
    <definedName name="LOUMCUS" localSheetId="11">#REF!</definedName>
    <definedName name="LOUMCUS">#REF!</definedName>
    <definedName name="LP" localSheetId="9">#REF!</definedName>
    <definedName name="LP" localSheetId="10">#REF!</definedName>
    <definedName name="LP" localSheetId="11">#REF!</definedName>
    <definedName name="LP">#REF!</definedName>
    <definedName name="LUR" localSheetId="9">#REF!</definedName>
    <definedName name="LUR" localSheetId="10">#REF!</definedName>
    <definedName name="LUR" localSheetId="11">#REF!</definedName>
    <definedName name="LUR">#REF!</definedName>
    <definedName name="m" localSheetId="10">[73]PIBEN!$Q$1</definedName>
    <definedName name="m">[74]PIBEN!$Q$1</definedName>
    <definedName name="madjigas" localSheetId="10" hidden="1">{"Main Economic Indicators",#N/A,FALSE,"C"}</definedName>
    <definedName name="madjigas" localSheetId="11" hidden="1">{"Main Economic Indicators",#N/A,FALSE,"C"}</definedName>
    <definedName name="madjigas" hidden="1">{"Main Economic Indicators",#N/A,FALSE,"C"}</definedName>
    <definedName name="MassesalarialeFP">[35]Noyau!$A$200:$K$210</definedName>
    <definedName name="mefdgaecnpe" localSheetId="10" hidden="1">{"Main Economic Indicators",#N/A,FALSE,"C"}</definedName>
    <definedName name="mefdgaecnpe" localSheetId="11" hidden="1">{"Main Economic Indicators",#N/A,FALSE,"C"}</definedName>
    <definedName name="mefdgaecnpe" hidden="1">{"Main Economic Indicators",#N/A,FALSE,"C"}</definedName>
    <definedName name="mm" hidden="1">{"Main Economic Indicators",#N/A,FALSE,"C"}</definedName>
    <definedName name="monnaie">[65]monnaie!$C$14:$Z$44</definedName>
    <definedName name="Moyennes_années_texte" localSheetId="10">'[75]Synthèses annuelles'!$C$2:$W$2</definedName>
    <definedName name="Moyennes_années_texte">'[76]Synthèses annuelles'!$C$2:$W$2</definedName>
    <definedName name="Moyennes_données" localSheetId="10">'[75]Synthèses annuelles'!$C$5:$W$16</definedName>
    <definedName name="Moyennes_données">'[76]Synthèses annuelles'!$C$5:$W$16</definedName>
    <definedName name="NCG" localSheetId="9">#REF!</definedName>
    <definedName name="NCG" localSheetId="10">#REF!</definedName>
    <definedName name="NCG" localSheetId="11">#REF!</definedName>
    <definedName name="NCG">#REF!</definedName>
    <definedName name="NCP" localSheetId="9">#REF!</definedName>
    <definedName name="NCP" localSheetId="10">#REF!</definedName>
    <definedName name="NCP" localSheetId="11">#REF!</definedName>
    <definedName name="NCP">#REF!</definedName>
    <definedName name="NFI" localSheetId="9">#REF!</definedName>
    <definedName name="NFI" localSheetId="10">#REF!</definedName>
    <definedName name="NFI" localSheetId="11">#REF!</definedName>
    <definedName name="NFI">#REF!</definedName>
    <definedName name="NFI_R" localSheetId="9">#REF!</definedName>
    <definedName name="NFI_R" localSheetId="10">#REF!</definedName>
    <definedName name="NFI_R" localSheetId="11">#REF!</definedName>
    <definedName name="NFI_R">#REF!</definedName>
    <definedName name="NGDP" localSheetId="9">#REF!</definedName>
    <definedName name="NGDP" localSheetId="10">#REF!</definedName>
    <definedName name="NGDP" localSheetId="11">#REF!</definedName>
    <definedName name="NGDP">#REF!</definedName>
    <definedName name="NGDP_R" localSheetId="9">#REF!</definedName>
    <definedName name="NGDP_R" localSheetId="10">#REF!</definedName>
    <definedName name="NGDP_R" localSheetId="11">#REF!</definedName>
    <definedName name="NGDP_R">#REF!</definedName>
    <definedName name="NGK" localSheetId="9">#REF!</definedName>
    <definedName name="NGK" localSheetId="10">#REF!</definedName>
    <definedName name="NGK" localSheetId="11">#REF!</definedName>
    <definedName name="NGK">#REF!</definedName>
    <definedName name="NGPXO" localSheetId="9">#REF!</definedName>
    <definedName name="NGPXO" localSheetId="10">#REF!</definedName>
    <definedName name="NGPXO" localSheetId="11">#REF!</definedName>
    <definedName name="NGPXO">#REF!</definedName>
    <definedName name="NGPXO_R" localSheetId="9">#REF!</definedName>
    <definedName name="NGPXO_R" localSheetId="10">#REF!</definedName>
    <definedName name="NGPXO_R" localSheetId="11">#REF!</definedName>
    <definedName name="NGPXO_R">#REF!</definedName>
    <definedName name="nhgnnfg" localSheetId="11" hidden="1">{"Main Economic Indicators",#N/A,FALSE,"C"}</definedName>
    <definedName name="nhgnnfg" hidden="1">{"Main Economic Indicators",#N/A,FALSE,"C"}</definedName>
    <definedName name="NINV" localSheetId="9">#REF!</definedName>
    <definedName name="NINV" localSheetId="10">#REF!</definedName>
    <definedName name="NINV" localSheetId="11">#REF!</definedName>
    <definedName name="NINV">#REF!</definedName>
    <definedName name="NINV_R" localSheetId="9">#REF!</definedName>
    <definedName name="NINV_R" localSheetId="10">#REF!</definedName>
    <definedName name="NINV_R" localSheetId="11">#REF!</definedName>
    <definedName name="NINV_R">#REF!</definedName>
    <definedName name="NM" localSheetId="9">#REF!</definedName>
    <definedName name="NM" localSheetId="10">#REF!</definedName>
    <definedName name="NM" localSheetId="11">#REF!</definedName>
    <definedName name="NM">#REF!</definedName>
    <definedName name="NMG" localSheetId="9">#REF!</definedName>
    <definedName name="NMG" localSheetId="10">#REF!</definedName>
    <definedName name="NMG" localSheetId="11">#REF!</definedName>
    <definedName name="NMG">#REF!</definedName>
    <definedName name="NMG_R" localSheetId="9">#REF!</definedName>
    <definedName name="NMG_R" localSheetId="10">#REF!</definedName>
    <definedName name="NMG_R" localSheetId="11">#REF!</definedName>
    <definedName name="NMG_R">#REF!</definedName>
    <definedName name="NNAMES" localSheetId="9">#REF!</definedName>
    <definedName name="NNAMES" localSheetId="10">#REF!</definedName>
    <definedName name="NNAMES" localSheetId="11">#REF!</definedName>
    <definedName name="NNAMES">#REF!</definedName>
    <definedName name="nnn" localSheetId="11" hidden="1">{"Main Economic Indicators",#N/A,FALSE,"C"}</definedName>
    <definedName name="nnn" hidden="1">{"Main Economic Indicators",#N/A,FALSE,"C"}</definedName>
    <definedName name="NOK" localSheetId="9">#REF!</definedName>
    <definedName name="NOK" localSheetId="10">#REF!</definedName>
    <definedName name="NOK" localSheetId="11">#REF!</definedName>
    <definedName name="NOK">#REF!</definedName>
    <definedName name="NOTES" localSheetId="9">#REF!</definedName>
    <definedName name="NOTES" localSheetId="10">#REF!</definedName>
    <definedName name="NOTES" localSheetId="11">#REF!</definedName>
    <definedName name="NOTES">#REF!</definedName>
    <definedName name="NX" localSheetId="9">#REF!</definedName>
    <definedName name="NX" localSheetId="10">#REF!</definedName>
    <definedName name="NX" localSheetId="11">#REF!</definedName>
    <definedName name="NX">#REF!</definedName>
    <definedName name="NXG" localSheetId="9">#REF!</definedName>
    <definedName name="NXG" localSheetId="10">#REF!</definedName>
    <definedName name="NXG" localSheetId="11">#REF!</definedName>
    <definedName name="NXG">#REF!</definedName>
    <definedName name="NXG_R" localSheetId="9">#REF!</definedName>
    <definedName name="NXG_R" localSheetId="10">#REF!</definedName>
    <definedName name="NXG_R" localSheetId="11">#REF!</definedName>
    <definedName name="NXG_R">#REF!</definedName>
    <definedName name="OCEconomico" localSheetId="10">[7]Resumo_Âmbito!$Z$1:$AN$266</definedName>
    <definedName name="OCEconomico">[8]Resumo_Âmbito!$Z$1:$AN$266</definedName>
    <definedName name="OICP" localSheetId="9">#REF!</definedName>
    <definedName name="OICP" localSheetId="10">#REF!</definedName>
    <definedName name="OICP" localSheetId="11">#REF!</definedName>
    <definedName name="OICP">#REF!</definedName>
    <definedName name="OiOrgPro" localSheetId="10">[45]Provincial!$IQ$5:$IU$88</definedName>
    <definedName name="OiOrgPro">[46]Provincial!$IQ$5:$IU$88</definedName>
    <definedName name="Opec" localSheetId="10">[21]CIRRs!$C$66</definedName>
    <definedName name="Opec">[22]CIRRs!$C$66</definedName>
    <definedName name="orga" localSheetId="10">[45]Orgao!$IJ$4:$IQ$124</definedName>
    <definedName name="orga">[46]Orgao!$IJ$4:$IQ$124</definedName>
    <definedName name="orgao" localSheetId="10">[77]ClasOrg!$A$1:$B$132</definedName>
    <definedName name="orgao">[78]ClasOrg!$A$1:$B$132</definedName>
    <definedName name="orientation" localSheetId="10" hidden="1">{"Main Economic Indicators",#N/A,FALSE,"C"}</definedName>
    <definedName name="orientation" localSheetId="11" hidden="1">{"Main Economic Indicators",#N/A,FALSE,"C"}</definedName>
    <definedName name="orientation" hidden="1">{"Main Economic Indicators",#N/A,FALSE,"C"}</definedName>
    <definedName name="OTO" localSheetId="9">#REF!</definedName>
    <definedName name="OTO" localSheetId="10">#REF!</definedName>
    <definedName name="OTO" localSheetId="11">#REF!</definedName>
    <definedName name="OTO">#REF!</definedName>
    <definedName name="OUTDS1" localSheetId="9">#REF!</definedName>
    <definedName name="OUTDS1" localSheetId="10">#REF!</definedName>
    <definedName name="OUTDS1" localSheetId="11">#REF!</definedName>
    <definedName name="OUTDS1">#REF!</definedName>
    <definedName name="outras" localSheetId="10">[25]DespCoefs!$C$42:$Q$42</definedName>
    <definedName name="outras">[26]DespCoefs!$C$42:$Q$42</definedName>
    <definedName name="PCPI" localSheetId="9">#REF!</definedName>
    <definedName name="PCPI" localSheetId="10">#REF!</definedName>
    <definedName name="PCPI" localSheetId="11">#REF!</definedName>
    <definedName name="PCPI">#REF!</definedName>
    <definedName name="PETROL" localSheetId="9">#REF!</definedName>
    <definedName name="PETROL" localSheetId="11">#REF!</definedName>
    <definedName name="PETROL">#REF!</definedName>
    <definedName name="popularité" localSheetId="9">'[60]Bilan alimentaire'!#REF!</definedName>
    <definedName name="popularité" localSheetId="10">'[59]Bilan alimentaire'!#REF!</definedName>
    <definedName name="popularité" localSheetId="11">'[60]Bilan alimentaire'!#REF!</definedName>
    <definedName name="popularité">'[60]Bilan alimentaire'!#REF!</definedName>
    <definedName name="Population">'[35]Bilan alimentaire'!#REF!</definedName>
    <definedName name="presentation" localSheetId="10" hidden="1">{"Main Economic Indicators",#N/A,FALSE,"C"}</definedName>
    <definedName name="presentation" localSheetId="11" hidden="1">{"Main Economic Indicators",#N/A,FALSE,"C"}</definedName>
    <definedName name="presentation" hidden="1">{"Main Economic Indicators",#N/A,FALSE,"C"}</definedName>
    <definedName name="PriorOrigem" localSheetId="10">'[41]Prioritários 2002'!$Z$4:$AH$177</definedName>
    <definedName name="PriorOrigem">'[42]Prioritários 2002'!$Z$4:$AH$177</definedName>
    <definedName name="prixbd" localSheetId="9">#REF!</definedName>
    <definedName name="prixbd" localSheetId="11">#REF!</definedName>
    <definedName name="prixbd">#REF!</definedName>
    <definedName name="prixcons" localSheetId="9">#REF!</definedName>
    <definedName name="prixcons" localSheetId="11">#REF!</definedName>
    <definedName name="prixcons">#REF!</definedName>
    <definedName name="prod2.2" localSheetId="9">#REF!</definedName>
    <definedName name="prod2.2" localSheetId="10">#REF!</definedName>
    <definedName name="prod2.2" localSheetId="11">#REF!</definedName>
    <definedName name="prod2.2">#REF!</definedName>
    <definedName name="prod2.3" localSheetId="9">#REF!</definedName>
    <definedName name="prod2.3" localSheetId="10">#REF!</definedName>
    <definedName name="prod2.3" localSheetId="11">#REF!</definedName>
    <definedName name="prod2.3">#REF!</definedName>
    <definedName name="prod2.4" localSheetId="9">#REF!</definedName>
    <definedName name="prod2.4" localSheetId="10">#REF!</definedName>
    <definedName name="prod2.4" localSheetId="11">#REF!</definedName>
    <definedName name="prod2.4">#REF!</definedName>
    <definedName name="prod2.5" localSheetId="9">#REF!</definedName>
    <definedName name="prod2.5" localSheetId="10">#REF!</definedName>
    <definedName name="prod2.5" localSheetId="11">#REF!</definedName>
    <definedName name="prod2.5">#REF!</definedName>
    <definedName name="PROG" localSheetId="9">#REF!</definedName>
    <definedName name="PROG" localSheetId="10">#REF!</definedName>
    <definedName name="PROG" localSheetId="11">#REF!</definedName>
    <definedName name="PROG">#REF!</definedName>
    <definedName name="Propension_moyenne_à_consommer">[35]Noyau!$A$100:$K$100</definedName>
    <definedName name="Prova" localSheetId="9">#REF!</definedName>
    <definedName name="Prova" localSheetId="10">#REF!</definedName>
    <definedName name="Prova" localSheetId="11">#REF!</definedName>
    <definedName name="Prova">#REF!</definedName>
    <definedName name="publica" localSheetId="10">[25]DespCoefs!$C$26:$Q$26</definedName>
    <definedName name="publica">[26]DespCoefs!$C$26:$Q$26</definedName>
    <definedName name="QTEN" localSheetId="9">#REF!</definedName>
    <definedName name="QTEN" localSheetId="10">#REF!</definedName>
    <definedName name="QTEN" localSheetId="11">#REF!</definedName>
    <definedName name="QTEN">#REF!</definedName>
    <definedName name="Range_CoverShadow" localSheetId="9">#REF!</definedName>
    <definedName name="Range_CoverShadow" localSheetId="10">#REF!</definedName>
    <definedName name="Range_CoverShadow" localSheetId="11">#REF!</definedName>
    <definedName name="Range_CoverShadow">#REF!</definedName>
    <definedName name="Range_DataSectors" localSheetId="9">#REF!</definedName>
    <definedName name="Range_DataSectors" localSheetId="10">#REF!</definedName>
    <definedName name="Range_DataSectors" localSheetId="11">#REF!</definedName>
    <definedName name="Range_DataSectors">#REF!</definedName>
    <definedName name="Range_RangeNames" localSheetId="9">#REF!</definedName>
    <definedName name="Range_RangeNames" localSheetId="10">#REF!</definedName>
    <definedName name="Range_RangeNames" localSheetId="11">#REF!</definedName>
    <definedName name="Range_RangeNames">#REF!</definedName>
    <definedName name="Range_ReportControl" localSheetId="9">#REF!</definedName>
    <definedName name="Range_ReportControl" localSheetId="10">#REF!</definedName>
    <definedName name="Range_ReportControl" localSheetId="11">#REF!</definedName>
    <definedName name="Range_ReportControl">#REF!</definedName>
    <definedName name="Range_SheetNames" localSheetId="9">#REF!</definedName>
    <definedName name="Range_SheetNames" localSheetId="10">#REF!</definedName>
    <definedName name="Range_SheetNames" localSheetId="11">#REF!</definedName>
    <definedName name="Range_SheetNames">#REF!</definedName>
    <definedName name="Range_StatementI" localSheetId="9">#REF!</definedName>
    <definedName name="Range_StatementI" localSheetId="10">#REF!</definedName>
    <definedName name="Range_StatementI" localSheetId="11">#REF!</definedName>
    <definedName name="Range_StatementI">#REF!</definedName>
    <definedName name="Range_StatementII" localSheetId="9">#REF!</definedName>
    <definedName name="Range_StatementII" localSheetId="10">#REF!</definedName>
    <definedName name="Range_StatementII" localSheetId="11">#REF!</definedName>
    <definedName name="Range_StatementII">#REF!</definedName>
    <definedName name="Range_Table1" localSheetId="9">#REF!</definedName>
    <definedName name="Range_Table1" localSheetId="10">#REF!</definedName>
    <definedName name="Range_Table1" localSheetId="11">#REF!</definedName>
    <definedName name="Range_Table1">#REF!</definedName>
    <definedName name="Range_Table2" localSheetId="9">#REF!</definedName>
    <definedName name="Range_Table2" localSheetId="10">#REF!</definedName>
    <definedName name="Range_Table2" localSheetId="11">#REF!</definedName>
    <definedName name="Range_Table2">#REF!</definedName>
    <definedName name="Range_Table3" localSheetId="9">#REF!</definedName>
    <definedName name="Range_Table3" localSheetId="10">#REF!</definedName>
    <definedName name="Range_Table3" localSheetId="11">#REF!</definedName>
    <definedName name="Range_Table3">#REF!</definedName>
    <definedName name="Range_Table4" localSheetId="9">#REF!</definedName>
    <definedName name="Range_Table4" localSheetId="10">#REF!</definedName>
    <definedName name="Range_Table4" localSheetId="11">#REF!</definedName>
    <definedName name="Range_Table4">#REF!</definedName>
    <definedName name="Range_Table5" localSheetId="9">#REF!</definedName>
    <definedName name="Range_Table5" localSheetId="10">#REF!</definedName>
    <definedName name="Range_Table5" localSheetId="11">#REF!</definedName>
    <definedName name="Range_Table5">#REF!</definedName>
    <definedName name="Range_Table6" localSheetId="9">#REF!</definedName>
    <definedName name="Range_Table6" localSheetId="10">#REF!</definedName>
    <definedName name="Range_Table6" localSheetId="11">#REF!</definedName>
    <definedName name="Range_Table6">#REF!</definedName>
    <definedName name="Range_Table7" localSheetId="9">#REF!</definedName>
    <definedName name="Range_Table7" localSheetId="10">#REF!</definedName>
    <definedName name="Range_Table7" localSheetId="11">#REF!</definedName>
    <definedName name="Range_Table7">#REF!</definedName>
    <definedName name="Range_Table8" localSheetId="9">#REF!</definedName>
    <definedName name="Range_Table8" localSheetId="10">#REF!</definedName>
    <definedName name="Range_Table8" localSheetId="11">#REF!</definedName>
    <definedName name="Range_Table8">#REF!</definedName>
    <definedName name="Range_Table9" localSheetId="9">#REF!</definedName>
    <definedName name="Range_Table9" localSheetId="10">#REF!</definedName>
    <definedName name="Range_Table9" localSheetId="11">#REF!</definedName>
    <definedName name="Range_Table9">#REF!</definedName>
    <definedName name="Range_TSStatementI" localSheetId="9">#REF!</definedName>
    <definedName name="Range_TSStatementI" localSheetId="10">#REF!</definedName>
    <definedName name="Range_TSStatementI" localSheetId="11">#REF!</definedName>
    <definedName name="Range_TSStatementI">#REF!</definedName>
    <definedName name="Range_TSStatementII" localSheetId="9">#REF!</definedName>
    <definedName name="Range_TSStatementII" localSheetId="10">#REF!</definedName>
    <definedName name="Range_TSStatementII" localSheetId="11">#REF!</definedName>
    <definedName name="Range_TSStatementII">#REF!</definedName>
    <definedName name="Range_TSTable1" localSheetId="9">#REF!</definedName>
    <definedName name="Range_TSTable1" localSheetId="10">#REF!</definedName>
    <definedName name="Range_TSTable1" localSheetId="11">#REF!</definedName>
    <definedName name="Range_TSTable1">#REF!</definedName>
    <definedName name="Range_TSTable2" localSheetId="9">#REF!</definedName>
    <definedName name="Range_TSTable2" localSheetId="10">#REF!</definedName>
    <definedName name="Range_TSTable2" localSheetId="11">#REF!</definedName>
    <definedName name="Range_TSTable2">#REF!</definedName>
    <definedName name="Range_TSTable3" localSheetId="9">#REF!</definedName>
    <definedName name="Range_TSTable3" localSheetId="10">#REF!</definedName>
    <definedName name="Range_TSTable3" localSheetId="11">#REF!</definedName>
    <definedName name="Range_TSTable3">#REF!</definedName>
    <definedName name="Range_TSTable4" localSheetId="9">#REF!</definedName>
    <definedName name="Range_TSTable4" localSheetId="10">#REF!</definedName>
    <definedName name="Range_TSTable4" localSheetId="11">#REF!</definedName>
    <definedName name="Range_TSTable4">#REF!</definedName>
    <definedName name="Range_TSTable5" localSheetId="9">#REF!</definedName>
    <definedName name="Range_TSTable5" localSheetId="10">#REF!</definedName>
    <definedName name="Range_TSTable5" localSheetId="11">#REF!</definedName>
    <definedName name="Range_TSTable5">#REF!</definedName>
    <definedName name="Range_TSTable6" localSheetId="9">#REF!</definedName>
    <definedName name="Range_TSTable6" localSheetId="10">#REF!</definedName>
    <definedName name="Range_TSTable6" localSheetId="11">#REF!</definedName>
    <definedName name="Range_TSTable6">#REF!</definedName>
    <definedName name="Range_TSTable7" localSheetId="9">#REF!</definedName>
    <definedName name="Range_TSTable7" localSheetId="10">#REF!</definedName>
    <definedName name="Range_TSTable7" localSheetId="11">#REF!</definedName>
    <definedName name="Range_TSTable7">#REF!</definedName>
    <definedName name="Range_TSTable8" localSheetId="9">#REF!</definedName>
    <definedName name="Range_TSTable8" localSheetId="10">#REF!</definedName>
    <definedName name="Range_TSTable8" localSheetId="11">#REF!</definedName>
    <definedName name="Range_TSTable8">#REF!</definedName>
    <definedName name="Range_TSTable9" localSheetId="9">#REF!</definedName>
    <definedName name="Range_TSTable9" localSheetId="10">#REF!</definedName>
    <definedName name="Range_TSTable9" localSheetId="11">#REF!</definedName>
    <definedName name="Range_TSTable9">#REF!</definedName>
    <definedName name="Receita_orçamental" localSheetId="10">[31]DESPESA!$A$7:$IV$7</definedName>
    <definedName name="Receita_orçamental">[32]DESPESA!$A$7:$IV$7</definedName>
    <definedName name="Receita_orçamental_excl_mega_projectos" localSheetId="9">[79]RECEITA!#REF!</definedName>
    <definedName name="Receita_orçamental_excl_mega_projectos" localSheetId="10">[80]RECEITA!#REF!</definedName>
    <definedName name="Receita_orçamental_excl_mega_projectos" localSheetId="11">[79]RECEITA!#REF!</definedName>
    <definedName name="Receita_orçamental_excl_mega_projectos">[79]RECEITA!#REF!</definedName>
    <definedName name="ree" localSheetId="11" hidden="1">{"Main Economic Indicators",#N/A,FALSE,"C"}</definedName>
    <definedName name="ree" hidden="1">{"Main Economic Indicators",#N/A,FALSE,"C"}</definedName>
    <definedName name="relief17" localSheetId="10">[81]C!$U$1</definedName>
    <definedName name="relief17">[82]C!$U$1</definedName>
    <definedName name="Ressources">'[35]Bilan alimentaire'!$D$48:$Y$67</definedName>
    <definedName name="rettttrr" localSheetId="11" hidden="1">{"Main Economic Indicators",#N/A,FALSE,"C"}</definedName>
    <definedName name="rettttrr" hidden="1">{"Main Economic Indicators",#N/A,FALSE,"C"}</definedName>
    <definedName name="Revisions" localSheetId="9">#REF!</definedName>
    <definedName name="Revisions" localSheetId="10">#REF!</definedName>
    <definedName name="Revisions" localSheetId="11">#REF!</definedName>
    <definedName name="Revisions">#REF!</definedName>
    <definedName name="REVPROG" localSheetId="9">#REF!</definedName>
    <definedName name="REVPROG" localSheetId="11">#REF!</definedName>
    <definedName name="REVPROG">#REF!</definedName>
    <definedName name="rfr" localSheetId="11" hidden="1">{"Main Economic Indicators",#N/A,FALSE,"C"}</definedName>
    <definedName name="rfr" hidden="1">{"Main Economic Indicators",#N/A,FALSE,"C"}</definedName>
    <definedName name="rg" localSheetId="11" hidden="1">{"Main Economic Indicators",#N/A,FALSE,"C"}</definedName>
    <definedName name="rg" hidden="1">{"Main Economic Indicators",#N/A,FALSE,"C"}</definedName>
    <definedName name="RNGNM" localSheetId="9">#REF!</definedName>
    <definedName name="RNGNM" localSheetId="10">#REF!</definedName>
    <definedName name="RNGNM" localSheetId="11">#REF!</definedName>
    <definedName name="RNGNM">#REF!</definedName>
    <definedName name="rtre" localSheetId="11" hidden="1">{"Main Economic Indicators",#N/A,FALSE,"C"}</definedName>
    <definedName name="rtre" hidden="1">{"Main Economic Indicators",#N/A,FALSE,"C"}</definedName>
    <definedName name="Rwvu.Export." localSheetId="9" hidden="1">#REF!,#REF!</definedName>
    <definedName name="Rwvu.Export." localSheetId="10" hidden="1">#REF!,#REF!</definedName>
    <definedName name="Rwvu.Export." localSheetId="11" hidden="1">#REF!,#REF!</definedName>
    <definedName name="Rwvu.Export." hidden="1">#REF!,#REF!</definedName>
    <definedName name="Rwvu.IMPORT." localSheetId="9" hidden="1">#REF!</definedName>
    <definedName name="Rwvu.IMPORT." localSheetId="10" hidden="1">#REF!</definedName>
    <definedName name="Rwvu.IMPORT." localSheetId="11" hidden="1">#REF!</definedName>
    <definedName name="Rwvu.IMPORT." hidden="1">#REF!</definedName>
    <definedName name="rXDR" localSheetId="10">[21]CIRRs!$C$109</definedName>
    <definedName name="rXDR">[22]CIRRs!$C$109</definedName>
    <definedName name="saaaaaaaa" localSheetId="11" hidden="1">{"Main Economic Indicators",#N/A,FALSE,"C"}</definedName>
    <definedName name="saaaaaaaa" hidden="1">{"Main Economic Indicators",#N/A,FALSE,"C"}</definedName>
    <definedName name="sddffd" localSheetId="11" hidden="1">{"Main Economic Indicators",#N/A,FALSE,"C"}</definedName>
    <definedName name="sddffd" hidden="1">{"Main Economic Indicators",#N/A,FALSE,"C"}</definedName>
    <definedName name="sdf" localSheetId="11" hidden="1">{"Main Economic Indicators",#N/A,FALSE,"C"}</definedName>
    <definedName name="sdf" hidden="1">{"Main Economic Indicators",#N/A,FALSE,"C"}</definedName>
    <definedName name="sds.dr" localSheetId="11" hidden="1">{"Main Economic Indicators",#N/A,FALSE,"C"}</definedName>
    <definedName name="sds.dr" hidden="1">{"Main Economic Indicators",#N/A,FALSE,"C"}</definedName>
    <definedName name="SECTORS" localSheetId="9">#REF!</definedName>
    <definedName name="SECTORS" localSheetId="10">#REF!</definedName>
    <definedName name="SECTORS" localSheetId="11">#REF!</definedName>
    <definedName name="SECTORS">#REF!</definedName>
    <definedName name="SUMTAB" localSheetId="9">#REF!</definedName>
    <definedName name="SUMTAB" localSheetId="11">#REF!</definedName>
    <definedName name="SUMTAB">#REF!</definedName>
    <definedName name="Tab_Base_Indicateurs">'[38]Sortie TaBEN'!$A$1:$R$173</definedName>
    <definedName name="TAB10E" localSheetId="9">#REF!</definedName>
    <definedName name="TAB10E" localSheetId="10">#REF!</definedName>
    <definedName name="TAB10E" localSheetId="11">#REF!</definedName>
    <definedName name="TAB10E">#REF!</definedName>
    <definedName name="TAB10F" localSheetId="9">#REF!</definedName>
    <definedName name="TAB10F" localSheetId="10">#REF!</definedName>
    <definedName name="TAB10F" localSheetId="11">#REF!</definedName>
    <definedName name="TAB10F">#REF!</definedName>
    <definedName name="TAB19E" localSheetId="9">#REF!</definedName>
    <definedName name="TAB19E" localSheetId="10">#REF!</definedName>
    <definedName name="TAB19E" localSheetId="11">#REF!</definedName>
    <definedName name="TAB19E">#REF!</definedName>
    <definedName name="TAB19F" localSheetId="9">#REF!</definedName>
    <definedName name="TAB19F" localSheetId="10">#REF!</definedName>
    <definedName name="TAB19F" localSheetId="11">#REF!</definedName>
    <definedName name="TAB19F">#REF!</definedName>
    <definedName name="TAB21E" localSheetId="9">#REF!</definedName>
    <definedName name="TAB21E" localSheetId="10">#REF!</definedName>
    <definedName name="TAB21E" localSheetId="11">#REF!</definedName>
    <definedName name="TAB21E">#REF!</definedName>
    <definedName name="TAB21F" localSheetId="9">#REF!</definedName>
    <definedName name="TAB21F" localSheetId="10">#REF!</definedName>
    <definedName name="TAB21F" localSheetId="11">#REF!</definedName>
    <definedName name="TAB21F">#REF!</definedName>
    <definedName name="TAB25E" localSheetId="9">#REF!</definedName>
    <definedName name="TAB25E" localSheetId="10">#REF!</definedName>
    <definedName name="TAB25E" localSheetId="11">#REF!</definedName>
    <definedName name="TAB25E">#REF!</definedName>
    <definedName name="TAB25F" localSheetId="9">#REF!</definedName>
    <definedName name="TAB25F" localSheetId="10">#REF!</definedName>
    <definedName name="TAB25F" localSheetId="11">#REF!</definedName>
    <definedName name="TAB25F">#REF!</definedName>
    <definedName name="TAB30E" localSheetId="9">#REF!</definedName>
    <definedName name="TAB30E" localSheetId="10">#REF!</definedName>
    <definedName name="TAB30E" localSheetId="11">#REF!</definedName>
    <definedName name="TAB30E">#REF!</definedName>
    <definedName name="TAB38E" localSheetId="9">#REF!</definedName>
    <definedName name="TAB38E" localSheetId="10">#REF!</definedName>
    <definedName name="TAB38E" localSheetId="11">#REF!</definedName>
    <definedName name="TAB38E">#REF!</definedName>
    <definedName name="Table_10._Senegal__Millennium_Development_Goals__concluded" localSheetId="9">#REF!,#REF!</definedName>
    <definedName name="Table_10._Senegal__Millennium_Development_Goals__concluded" localSheetId="11">#REF!,#REF!</definedName>
    <definedName name="Table_10._Senegal__Millennium_Development_Goals__concluded">#REF!,#REF!</definedName>
    <definedName name="Table_13._Senegal__Fund_Position_During_the_Period_of_the_PRGF_Arrangement__2003_06_1" localSheetId="9">#REF!</definedName>
    <definedName name="Table_13._Senegal__Fund_Position_During_the_Period_of_the_PRGF_Arrangement__2003_06_1" localSheetId="11">#REF!</definedName>
    <definedName name="Table_13._Senegal__Fund_Position_During_the_Period_of_the_PRGF_Arrangement__2003_06_1">#REF!</definedName>
    <definedName name="Table_2._Senegal___Savings_Investment_Balances_and_National_Accounts_2001_06" localSheetId="9">#REF!</definedName>
    <definedName name="Table_2._Senegal___Savings_Investment_Balances_and_National_Accounts_2001_06" localSheetId="11">#REF!</definedName>
    <definedName name="Table_2._Senegal___Savings_Investment_Balances_and_National_Accounts_2001_06">#REF!</definedName>
    <definedName name="Table_3" localSheetId="9">#REF!</definedName>
    <definedName name="Table_3" localSheetId="10">#REF!</definedName>
    <definedName name="Table_3" localSheetId="11">#REF!</definedName>
    <definedName name="Table_3">#REF!</definedName>
    <definedName name="Table_5" localSheetId="9">#REF!</definedName>
    <definedName name="Table_5" localSheetId="10">#REF!</definedName>
    <definedName name="Table_5" localSheetId="11">#REF!</definedName>
    <definedName name="Table_5">#REF!</definedName>
    <definedName name="Table_5a" localSheetId="9">[33]E!#REF!</definedName>
    <definedName name="Table_5a" localSheetId="10">[34]E!#REF!</definedName>
    <definedName name="Table_5a" localSheetId="11">[33]E!#REF!</definedName>
    <definedName name="Table_5a">[33]E!#REF!</definedName>
    <definedName name="Table_9" localSheetId="9">#REF!</definedName>
    <definedName name="Table_9" localSheetId="10">#REF!</definedName>
    <definedName name="Table_9" localSheetId="11">#REF!</definedName>
    <definedName name="Table_9">#REF!</definedName>
    <definedName name="Table_9.__Senegal__Quarterly_Government_Financial_Operations__2004" localSheetId="9">#REF!</definedName>
    <definedName name="Table_9.__Senegal__Quarterly_Government_Financial_Operations__2004" localSheetId="11">#REF!</definedName>
    <definedName name="Table_9.__Senegal__Quarterly_Government_Financial_Operations__2004">#REF!</definedName>
    <definedName name="Table_Base_Indication" localSheetId="10">'[83]Sortie TaBEN'!$A$1:$R$173</definedName>
    <definedName name="Table_Base_Indication">'[84]Sortie TaBEN'!$A$1:$R$173</definedName>
    <definedName name="table10" localSheetId="9">#REF!</definedName>
    <definedName name="table10" localSheetId="10">#REF!</definedName>
    <definedName name="table10" localSheetId="11">#REF!</definedName>
    <definedName name="table10">#REF!</definedName>
    <definedName name="table15" localSheetId="9">'[85]t13-ASSISTANCE'!#REF!</definedName>
    <definedName name="table15" localSheetId="10">'[86]t13-ASSISTANCE'!#REF!</definedName>
    <definedName name="table15" localSheetId="11">'[85]t13-ASSISTANCE'!#REF!</definedName>
    <definedName name="table15">'[85]t13-ASSISTANCE'!#REF!</definedName>
    <definedName name="Table2" localSheetId="9">#REF!</definedName>
    <definedName name="Table2" localSheetId="10">#REF!</definedName>
    <definedName name="Table2" localSheetId="11">#REF!</definedName>
    <definedName name="Table2">#REF!</definedName>
    <definedName name="table6" localSheetId="9">#REF!</definedName>
    <definedName name="table6" localSheetId="10">#REF!</definedName>
    <definedName name="table6" localSheetId="11">#REF!</definedName>
    <definedName name="table6">#REF!</definedName>
    <definedName name="table7" localSheetId="9">#REF!</definedName>
    <definedName name="table7" localSheetId="10">#REF!</definedName>
    <definedName name="table7" localSheetId="11">#REF!</definedName>
    <definedName name="table7">#REF!</definedName>
    <definedName name="TABLENAME" localSheetId="9">#REF!</definedName>
    <definedName name="TABLENAME" localSheetId="10">#REF!</definedName>
    <definedName name="TABLENAME" localSheetId="11">#REF!</definedName>
    <definedName name="TABLENAME">#REF!</definedName>
    <definedName name="tables" localSheetId="9">#REF!</definedName>
    <definedName name="tables" localSheetId="11">#REF!</definedName>
    <definedName name="tables">#REF!</definedName>
    <definedName name="Taxa_cambio_média_trimestral_2001" localSheetId="10">'[87]Orç Prog 2001'!$A$190:$IV$190</definedName>
    <definedName name="Taxa_cambio_média_trimestral_2001">'[88]Orç Prog 2001'!$A$190:$IV$190</definedName>
    <definedName name="tb0a" localSheetId="9">#REF!</definedName>
    <definedName name="tb0a" localSheetId="11">#REF!</definedName>
    <definedName name="tb0a">#REF!</definedName>
    <definedName name="test" localSheetId="11" hidden="1">{"Main Economic Indicators",#N/A,FALSE,"C"}</definedName>
    <definedName name="test" hidden="1">{"Main Economic Indicators",#N/A,FALSE,"C"}</definedName>
    <definedName name="test2" localSheetId="11" hidden="1">{"Main Economic Indicators",#N/A,FALSE,"C"}</definedName>
    <definedName name="test2" hidden="1">{"Main Economic Indicators",#N/A,FALSE,"C"}</definedName>
    <definedName name="test3" localSheetId="11" hidden="1">{"Main Economic Indicators",#N/A,FALSE,"C"}</definedName>
    <definedName name="test3" hidden="1">{"Main Economic Indicators",#N/A,FALSE,"C"}</definedName>
    <definedName name="tfehaut" localSheetId="9">#REF!</definedName>
    <definedName name="tfehaut" localSheetId="10">#REF!</definedName>
    <definedName name="tfehaut" localSheetId="11">#REF!</definedName>
    <definedName name="tfehaut">#REF!</definedName>
    <definedName name="TIR" localSheetId="9">#REF!</definedName>
    <definedName name="TIR" localSheetId="10">#REF!</definedName>
    <definedName name="TIR" localSheetId="11">#REF!</definedName>
    <definedName name="TIR">#REF!</definedName>
    <definedName name="tir3a" localSheetId="9">#REF!</definedName>
    <definedName name="tir3a" localSheetId="10">#REF!</definedName>
    <definedName name="tir3a" localSheetId="11">#REF!</definedName>
    <definedName name="tir3a">#REF!</definedName>
    <definedName name="tir3d" localSheetId="9">#REF!</definedName>
    <definedName name="tir3d" localSheetId="10">#REF!</definedName>
    <definedName name="tir3d" localSheetId="11">#REF!</definedName>
    <definedName name="tir3d">#REF!</definedName>
    <definedName name="tiran" localSheetId="9">#REF!</definedName>
    <definedName name="tiran" localSheetId="10">#REF!</definedName>
    <definedName name="tiran" localSheetId="11">#REF!</definedName>
    <definedName name="tiran">#REF!</definedName>
    <definedName name="tire" localSheetId="9">#REF!</definedName>
    <definedName name="tire" localSheetId="10">#REF!</definedName>
    <definedName name="tire" localSheetId="11">#REF!</definedName>
    <definedName name="tire">#REF!</definedName>
    <definedName name="Tithbud" localSheetId="11">#REF!</definedName>
    <definedName name="Tithbud" localSheetId="13">#REF!</definedName>
    <definedName name="Tithbud" localSheetId="0">#REF!</definedName>
    <definedName name="Tithbud" localSheetId="3">#REF!</definedName>
    <definedName name="Tithbud" localSheetId="6">#REF!</definedName>
    <definedName name="Tithbud" localSheetId="2">#REF!</definedName>
    <definedName name="Tithbud" localSheetId="5">#REF!</definedName>
    <definedName name="Tithbud" localSheetId="4">#REF!</definedName>
    <definedName name="Tithbud" localSheetId="7">#REF!</definedName>
    <definedName name="Tithbud" localSheetId="8">#REF!</definedName>
    <definedName name="Tithbud">#REF!</definedName>
    <definedName name="TOFE" localSheetId="10">'[29]TOFE Recettes - dépenses'!$K$10:$AG$48</definedName>
    <definedName name="TOFE">'[30]TOFE Recettes - dépenses'!$K$10:$AG$48</definedName>
    <definedName name="tofecnpe" localSheetId="11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tofecnp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TOFIN">'[65]TOFE Financement'!$K$49:$AK$78</definedName>
    <definedName name="TOT" localSheetId="9">#REF!</definedName>
    <definedName name="TOT" localSheetId="10">#REF!</definedName>
    <definedName name="TOT" localSheetId="11">#REF!</definedName>
    <definedName name="TOT">#REF!</definedName>
    <definedName name="TOTAL" localSheetId="9">#REF!</definedName>
    <definedName name="TOTAL" localSheetId="10">#REF!</definedName>
    <definedName name="TOTAL" localSheetId="11">#REF!</definedName>
    <definedName name="TOTAL">#REF!</definedName>
    <definedName name="tr" localSheetId="11" hidden="1">{"Main Economic Indicators",#N/A,FALSE,"C"}</definedName>
    <definedName name="tr" hidden="1">{"Main Economic Indicators",#N/A,FALSE,"C"}</definedName>
    <definedName name="UCC" localSheetId="9">#REF!</definedName>
    <definedName name="UCC" localSheetId="10">#REF!</definedName>
    <definedName name="UCC" localSheetId="11">#REF!</definedName>
    <definedName name="UCC">#REF!</definedName>
    <definedName name="Unités_autos" localSheetId="9">#REF!</definedName>
    <definedName name="Unités_autos" localSheetId="10">#REF!</definedName>
    <definedName name="Unités_autos" localSheetId="11">#REF!</definedName>
    <definedName name="Unités_autos">#REF!</definedName>
    <definedName name="USD" localSheetId="9">#REF!</definedName>
    <definedName name="USD" localSheetId="10">#REF!</definedName>
    <definedName name="USD" localSheetId="11">#REF!</definedName>
    <definedName name="USD">#REF!</definedName>
    <definedName name="V" localSheetId="9">#REF!</definedName>
    <definedName name="V" localSheetId="10">#REF!</definedName>
    <definedName name="V" localSheetId="11">#REF!</definedName>
    <definedName name="V">#REF!</definedName>
    <definedName name="VA_sectorielles">[35]Noyau!$A$1051:$K$1075</definedName>
    <definedName name="VAL" localSheetId="9">#REF!</definedName>
    <definedName name="VAL" localSheetId="10">#REF!</definedName>
    <definedName name="VAL" localSheetId="11">#REF!</definedName>
    <definedName name="VAL">#REF!</definedName>
    <definedName name="Validation">[38]BE!$E$3:$R$3</definedName>
    <definedName name="VALN" localSheetId="9">#REF!</definedName>
    <definedName name="VALN" localSheetId="10">#REF!</definedName>
    <definedName name="VALN" localSheetId="11">#REF!</definedName>
    <definedName name="VALN">#REF!</definedName>
    <definedName name="Var_en_val" localSheetId="10">'[89]Var trim'!$A$276:$Y$338</definedName>
    <definedName name="Var_en_val">'[90]Var trim'!$A$276:$Y$338</definedName>
    <definedName name="Var_en_vol" localSheetId="10">'[89]Var trim'!$A$209:$Y$271</definedName>
    <definedName name="Var_en_vol">'[90]Var trim'!$A$209:$Y$271</definedName>
    <definedName name="vn" localSheetId="9">#REF!</definedName>
    <definedName name="vn" localSheetId="10">#REF!</definedName>
    <definedName name="vn" localSheetId="11">#REF!</definedName>
    <definedName name="vn">#REF!</definedName>
    <definedName name="VN_1" localSheetId="9">#REF!</definedName>
    <definedName name="VN_1" localSheetId="10">#REF!</definedName>
    <definedName name="VN_1" localSheetId="11">#REF!</definedName>
    <definedName name="VN_1">#REF!</definedName>
    <definedName name="weo" localSheetId="9">#REF!</definedName>
    <definedName name="weo" localSheetId="10">#REF!</definedName>
    <definedName name="weo" localSheetId="11">#REF!</definedName>
    <definedName name="weo">#REF!</definedName>
    <definedName name="wer.main" localSheetId="11" hidden="1">{"Main Economic Indicators",#N/A,FALSE,"C"}</definedName>
    <definedName name="wer.main" hidden="1">{"Main Economic Indicators",#N/A,FALSE,"C"}</definedName>
    <definedName name="wetasubmission" localSheetId="9">#REF!</definedName>
    <definedName name="wetasubmission" localSheetId="10">#REF!</definedName>
    <definedName name="wetasubmission" localSheetId="11">#REF!</definedName>
    <definedName name="wetasubmission">#REF!</definedName>
    <definedName name="wqeeer" localSheetId="11" hidden="1">{"Main Economic Indicators",#N/A,FALSE,"C"}</definedName>
    <definedName name="wqeeer" hidden="1">{"Main Economic Indicators",#N/A,FALSE,"C"}</definedName>
    <definedName name="wr" localSheetId="11" hidden="1">{"Main Economic Indicators",#N/A,FALSE,"C"}</definedName>
    <definedName name="wr" hidden="1">{"Main Economic Indicators",#N/A,FALSE,"C"}</definedName>
    <definedName name="wrn.INFLATION." localSheetId="11" hidden="1">{"AFR_ESAF",#N/A,TRUE,"TB2";"AFR_ESAF",#N/A,TRUE,"TB1"}</definedName>
    <definedName name="wrn.INFLATION." hidden="1">{"AFR_ESAF",#N/A,TRUE,"TB2";"AFR_ESAF",#N/A,TRUE,"TB1"}</definedName>
    <definedName name="wrn.Main._.Economic._.Indicators." localSheetId="11" hidden="1">{"Main Economic Indicators",#N/A,FALSE,"C"}</definedName>
    <definedName name="wrn.Main._.Economic._.Indicators." hidden="1">{"Main Economic Indicators",#N/A,FALSE,"C"}</definedName>
    <definedName name="wrn.STAFF_REPORT_TABLES." localSheetId="11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t_d" localSheetId="10">[21]CIRRs!$C$59</definedName>
    <definedName name="Wt_d">[22]CIRRs!$C$59</definedName>
    <definedName name="wvu.a." localSheetId="1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localSheetId="1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ff" localSheetId="11" hidden="1">{"Main Economic Indicators",#N/A,FALSE,"C"}</definedName>
    <definedName name="wwff" hidden="1">{"Main Economic Indicators",#N/A,FALSE,"C"}</definedName>
    <definedName name="xnomépasprix" localSheetId="9">#REF!</definedName>
    <definedName name="xnomépasprix" localSheetId="11">#REF!</definedName>
    <definedName name="xnomépasprix">#REF!</definedName>
    <definedName name="xnopémasfab" localSheetId="9">#REF!</definedName>
    <definedName name="xnopémasfab" localSheetId="11">#REF!</definedName>
    <definedName name="xnopémasfab">#REF!</definedName>
    <definedName name="xnopémasprix" localSheetId="9">#REF!</definedName>
    <definedName name="xnopémasprix" localSheetId="11">#REF!</definedName>
    <definedName name="xnopémasprix">#REF!</definedName>
    <definedName name="xnopémasquant" localSheetId="9">#REF!</definedName>
    <definedName name="xnopémasquant" localSheetId="11">#REF!</definedName>
    <definedName name="xnopémasquant">#REF!</definedName>
    <definedName name="xvbx" localSheetId="10">'[55]4'!$A$1</definedName>
    <definedName name="xvbx">'[56]4'!$A$1</definedName>
    <definedName name="xvbxvb" localSheetId="10">'[55]28'!$A$1</definedName>
    <definedName name="xvbxvb">'[56]28'!$A$1</definedName>
    <definedName name="xvcbxvbxv" localSheetId="10">'[55]17'!$A$1</definedName>
    <definedName name="xvcbxvbxv">'[56]17'!$A$1</definedName>
    <definedName name="xxcccghaaaaaaaaaaaaa" localSheetId="11" hidden="1">{"Main Economic Indicators",#N/A,FALSE,"C"}</definedName>
    <definedName name="xxcccghaaaaaaaaaaaaa" hidden="1">{"Main Economic Indicators",#N/A,FALSE,"C"}</definedName>
    <definedName name="Z_112B8339_2081_11D2_BFD2_00A02466506E_.wvu.PrintTitles" localSheetId="10" hidden="1">[68]SUMMARY!$B$1:$D$65536,[68]SUMMARY!$A$3:$IV$5</definedName>
    <definedName name="Z_112B8339_2081_11D2_BFD2_00A02466506E_.wvu.PrintTitles" hidden="1">[69]SUMMARY!$B$1:$D$65536,[69]SUMMARY!$A$3:$IV$5</definedName>
    <definedName name="Z_112B833B_2081_11D2_BFD2_00A02466506E_.wvu.PrintTitles" localSheetId="10" hidden="1">[68]SUMMARY!$B$1:$D$65536,[68]SUMMARY!$A$3:$IV$5</definedName>
    <definedName name="Z_112B833B_2081_11D2_BFD2_00A02466506E_.wvu.PrintTitles" hidden="1">[69]SUMMARY!$B$1:$D$65536,[69]SUMMARY!$A$3:$IV$5</definedName>
    <definedName name="Z_1A8C061B_2301_11D3_BFD1_000039E37209_.wvu.Cols" localSheetId="10" hidden="1">'[91]IDA-tab7'!$K$1:$T$65536,'[91]IDA-tab7'!$V$1:$AE$65536,'[91]IDA-tab7'!$AG$1:$AP$65536</definedName>
    <definedName name="Z_1A8C061B_2301_11D3_BFD1_000039E37209_.wvu.Cols" hidden="1">'[92]IDA-tab7'!$K$1:$T$65536,'[92]IDA-tab7'!$V$1:$AE$65536,'[92]IDA-tab7'!$AG$1:$AP$65536</definedName>
    <definedName name="Z_1A8C061B_2301_11D3_BFD1_000039E37209_.wvu.Rows" localSheetId="10" hidden="1">'[91]IDA-tab7'!$A$10:$IV$11,'[91]IDA-tab7'!$A$14:$IV$14,'[91]IDA-tab7'!$A$18:$IV$18</definedName>
    <definedName name="Z_1A8C061B_2301_11D3_BFD1_000039E37209_.wvu.Rows" hidden="1">'[92]IDA-tab7'!$A$10:$IV$11,'[92]IDA-tab7'!$A$14:$IV$14,'[92]IDA-tab7'!$A$18:$IV$18</definedName>
    <definedName name="Z_1A8C061C_2301_11D3_BFD1_000039E37209_.wvu.Cols" localSheetId="10" hidden="1">'[91]IDA-tab7'!$K$1:$T$65536,'[91]IDA-tab7'!$V$1:$AE$65536,'[91]IDA-tab7'!$AG$1:$AP$65536</definedName>
    <definedName name="Z_1A8C061C_2301_11D3_BFD1_000039E37209_.wvu.Cols" hidden="1">'[92]IDA-tab7'!$K$1:$T$65536,'[92]IDA-tab7'!$V$1:$AE$65536,'[92]IDA-tab7'!$AG$1:$AP$65536</definedName>
    <definedName name="Z_1A8C061C_2301_11D3_BFD1_000039E37209_.wvu.Rows" localSheetId="10" hidden="1">'[91]IDA-tab7'!$A$10:$IV$11,'[91]IDA-tab7'!$A$14:$IV$14,'[91]IDA-tab7'!$A$18:$IV$18</definedName>
    <definedName name="Z_1A8C061C_2301_11D3_BFD1_000039E37209_.wvu.Rows" hidden="1">'[92]IDA-tab7'!$A$10:$IV$11,'[92]IDA-tab7'!$A$14:$IV$14,'[92]IDA-tab7'!$A$18:$IV$18</definedName>
    <definedName name="Z_1A8C061E_2301_11D3_BFD1_000039E37209_.wvu.Cols" localSheetId="10" hidden="1">'[91]IDA-tab7'!$K$1:$T$65536,'[91]IDA-tab7'!$V$1:$AE$65536,'[91]IDA-tab7'!$AG$1:$AP$65536</definedName>
    <definedName name="Z_1A8C061E_2301_11D3_BFD1_000039E37209_.wvu.Cols" hidden="1">'[92]IDA-tab7'!$K$1:$T$65536,'[92]IDA-tab7'!$V$1:$AE$65536,'[92]IDA-tab7'!$AG$1:$AP$65536</definedName>
    <definedName name="Z_1A8C061E_2301_11D3_BFD1_000039E37209_.wvu.Rows" localSheetId="10" hidden="1">'[91]IDA-tab7'!$A$10:$IV$11,'[91]IDA-tab7'!$A$14:$IV$14,'[91]IDA-tab7'!$A$18:$IV$18</definedName>
    <definedName name="Z_1A8C061E_2301_11D3_BFD1_000039E37209_.wvu.Rows" hidden="1">'[92]IDA-tab7'!$A$10:$IV$11,'[92]IDA-tab7'!$A$14:$IV$14,'[92]IDA-tab7'!$A$18:$IV$18</definedName>
    <definedName name="Z_1A8C061F_2301_11D3_BFD1_000039E37209_.wvu.Cols" localSheetId="10" hidden="1">'[91]IDA-tab7'!$K$1:$T$65536,'[91]IDA-tab7'!$V$1:$AE$65536,'[91]IDA-tab7'!$AG$1:$AP$65536</definedName>
    <definedName name="Z_1A8C061F_2301_11D3_BFD1_000039E37209_.wvu.Cols" hidden="1">'[92]IDA-tab7'!$K$1:$T$65536,'[92]IDA-tab7'!$V$1:$AE$65536,'[92]IDA-tab7'!$AG$1:$AP$65536</definedName>
    <definedName name="Z_1A8C061F_2301_11D3_BFD1_000039E37209_.wvu.Rows" localSheetId="10" hidden="1">'[91]IDA-tab7'!$A$10:$IV$11,'[91]IDA-tab7'!$A$14:$IV$14,'[91]IDA-tab7'!$A$18:$IV$18</definedName>
    <definedName name="Z_1A8C061F_2301_11D3_BFD1_000039E37209_.wvu.Rows" hidden="1">'[92]IDA-tab7'!$A$10:$IV$11,'[92]IDA-tab7'!$A$14:$IV$14,'[92]IDA-tab7'!$A$18:$IV$18</definedName>
    <definedName name="Z_65976840_70A2_11D2_BFD1_C1F7123CE332_.wvu.PrintTitles" localSheetId="10" hidden="1">[68]SUMMARY!$B$1:$D$65536,[68]SUMMARY!$A$3:$IV$5</definedName>
    <definedName name="Z_65976840_70A2_11D2_BFD1_C1F7123CE332_.wvu.PrintTitles" hidden="1">[69]SUMMARY!$B$1:$D$65536,[69]SUMMARY!$A$3:$IV$5</definedName>
    <definedName name="Z_BC2BFA12_1C91_11D2_BFD2_00A02466506E_.wvu.PrintTitles" localSheetId="10" hidden="1">[68]SUMMARY!$B$1:$D$65536,[68]SUMMARY!$A$3:$IV$5</definedName>
    <definedName name="Z_BC2BFA12_1C91_11D2_BFD2_00A02466506E_.wvu.PrintTitles" hidden="1">[69]SUMMARY!$B$1:$D$65536,[69]SUMMARY!$A$3:$IV$5</definedName>
    <definedName name="Z_E6B74681_BCE1_11D2_BFD1_00A02466506E_.wvu.PrintTitles" localSheetId="10" hidden="1">[68]SUMMARY!$B$1:$D$65536,[68]SUMMARY!$A$3:$IV$5</definedName>
    <definedName name="Z_E6B74681_BCE1_11D2_BFD1_00A02466506E_.wvu.PrintTitles" hidden="1">[69]SUMMARY!$B$1:$D$65536,[69]SUMMARY!$A$3:$IV$5</definedName>
    <definedName name="zjhhhr" hidden="1">{"Main Economic Indicators",#N/A,FALSE,"C"}</definedName>
    <definedName name="_xlnm.Print_Area" localSheetId="9">' situation des flux de trés (2'!$A$1:$E$50</definedName>
    <definedName name="_xlnm.Print_Area" localSheetId="10">[67]INDICES3!#REF!</definedName>
    <definedName name="_xlnm.Print_Area" localSheetId="11">[66]INDICES3!#REF!</definedName>
    <definedName name="_xlnm.Print_Area" localSheetId="0">SO_APU!$A$1:$O$118</definedName>
    <definedName name="_xlnm.Print_Area" localSheetId="3">'SO_APU 2022'!$A$1:$R$129</definedName>
    <definedName name="_xlnm.Print_Area" localSheetId="6">'SO_APU juin 2023'!$A$1:$I$122</definedName>
    <definedName name="_xlnm.Print_Area" localSheetId="1">SO_APU_1!$A$1:$C$117</definedName>
    <definedName name="_xlnm.Print_Area" localSheetId="2">SO_APU_2021!$A$1:$P$118</definedName>
    <definedName name="_xlnm.Print_Area" localSheetId="5">SO_APU_2023!$A$1:$C$129</definedName>
    <definedName name="_xlnm.Print_Area" localSheetId="4">SO_APU_dec_2022!$A$1:$L$117</definedName>
    <definedName name="_xlnm.Print_Area" localSheetId="7">SO_APU_DEC_23!$A$1:$F$127</definedName>
    <definedName name="_xlnm.Print_Area" localSheetId="8">SO_APU_sept_23!$A$1:$E$125</definedName>
    <definedName name="_xlnm.Print_Area">[66]INDICES3!#REF!</definedName>
    <definedName name="Zone_impres_MI" localSheetId="9">#REF!</definedName>
    <definedName name="Zone_impres_MI" localSheetId="11">#REF!</definedName>
    <definedName name="Zone_impres_MI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U22" i="3" l="1"/>
  <c r="E7" i="4" l="1"/>
  <c r="F7" i="4" s="1"/>
  <c r="F8" i="4" l="1"/>
  <c r="FN22" i="3"/>
  <c r="FO22" i="3"/>
  <c r="FQ22" i="3"/>
  <c r="FR22" i="3"/>
  <c r="FS22" i="3"/>
  <c r="FT22" i="3"/>
  <c r="FV22" i="3"/>
  <c r="FW22" i="3"/>
  <c r="FX22" i="3"/>
  <c r="FY22" i="3"/>
  <c r="FZ22" i="3"/>
  <c r="GA22" i="3"/>
  <c r="GB22" i="3"/>
  <c r="GC22" i="3"/>
  <c r="GD22" i="3"/>
  <c r="GE22" i="3"/>
  <c r="GF22" i="3"/>
  <c r="GG22" i="3"/>
  <c r="FM22" i="3"/>
  <c r="FN19" i="3"/>
  <c r="FO19" i="3"/>
  <c r="FP19" i="3"/>
  <c r="FQ19" i="3"/>
  <c r="FR19" i="3"/>
  <c r="FS19" i="3"/>
  <c r="FT19" i="3"/>
  <c r="FM19" i="3"/>
  <c r="FN17" i="3"/>
  <c r="FO17" i="3"/>
  <c r="FP17" i="3"/>
  <c r="FQ17" i="3"/>
  <c r="FR17" i="3"/>
  <c r="FS17" i="3"/>
  <c r="FS16" i="3" s="1"/>
  <c r="FT17" i="3"/>
  <c r="FM17" i="3"/>
  <c r="FQ16" i="3" l="1"/>
  <c r="FN16" i="3"/>
  <c r="FR16" i="3"/>
  <c r="FM16" i="3"/>
  <c r="FO16" i="3"/>
  <c r="FT16" i="3"/>
  <c r="F5" i="4" l="1"/>
  <c r="F4" i="4" s="1"/>
  <c r="F3" i="4" l="1"/>
  <c r="F29" i="4"/>
  <c r="F21" i="4"/>
  <c r="F20" i="4" l="1"/>
  <c r="CJ3" i="15"/>
  <c r="AL54" i="2" l="1"/>
  <c r="CI3" i="14" l="1"/>
  <c r="AN54" i="2" l="1"/>
  <c r="AM54" i="2"/>
  <c r="I122" i="13" l="1"/>
  <c r="G122" i="13"/>
  <c r="F122" i="13"/>
  <c r="E122" i="13"/>
  <c r="D122" i="13"/>
  <c r="C122" i="13"/>
  <c r="B122" i="13"/>
  <c r="H122" i="13" s="1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CM1" i="13"/>
  <c r="FT30" i="3" l="1"/>
  <c r="FT12" i="3"/>
  <c r="CD3" i="12" l="1"/>
  <c r="FV4" i="3" l="1"/>
  <c r="FT5" i="3"/>
  <c r="E29" i="4" l="1"/>
  <c r="D8" i="4"/>
  <c r="E8" i="4" s="1"/>
  <c r="E5" i="4"/>
  <c r="FS12" i="3" l="1"/>
  <c r="AA49" i="2" l="1"/>
  <c r="M71" i="11"/>
  <c r="AB49" i="2" l="1"/>
  <c r="L117" i="11" l="1"/>
  <c r="K117" i="11"/>
  <c r="L116" i="11"/>
  <c r="K116" i="11"/>
  <c r="L115" i="11"/>
  <c r="K115" i="11"/>
  <c r="L114" i="11"/>
  <c r="K114" i="11"/>
  <c r="L113" i="11"/>
  <c r="K113" i="11"/>
  <c r="L112" i="11"/>
  <c r="K112" i="11"/>
  <c r="L111" i="11"/>
  <c r="K111" i="11"/>
  <c r="L110" i="11"/>
  <c r="K110" i="11"/>
  <c r="L109" i="11"/>
  <c r="K109" i="1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L102" i="11"/>
  <c r="K102" i="11"/>
  <c r="L101" i="11"/>
  <c r="K101" i="11"/>
  <c r="L100" i="11"/>
  <c r="K100" i="11"/>
  <c r="L99" i="11"/>
  <c r="K99" i="11"/>
  <c r="L98" i="11"/>
  <c r="K98" i="11"/>
  <c r="L97" i="11"/>
  <c r="K97" i="11"/>
  <c r="L96" i="11"/>
  <c r="K96" i="11"/>
  <c r="L95" i="11"/>
  <c r="K95" i="11"/>
  <c r="L94" i="11"/>
  <c r="K94" i="11"/>
  <c r="L93" i="11"/>
  <c r="K93" i="11"/>
  <c r="L92" i="11"/>
  <c r="K92" i="11"/>
  <c r="L91" i="11"/>
  <c r="K91" i="11"/>
  <c r="L90" i="11"/>
  <c r="K90" i="11"/>
  <c r="L89" i="11"/>
  <c r="K89" i="11"/>
  <c r="L88" i="11"/>
  <c r="K88" i="11"/>
  <c r="L87" i="11"/>
  <c r="K87" i="11"/>
  <c r="L86" i="11"/>
  <c r="K86" i="11"/>
  <c r="L85" i="11"/>
  <c r="K85" i="11"/>
  <c r="L84" i="11"/>
  <c r="K84" i="11"/>
  <c r="L83" i="11"/>
  <c r="K83" i="11"/>
  <c r="L82" i="11"/>
  <c r="K82" i="11"/>
  <c r="L81" i="11"/>
  <c r="K81" i="11"/>
  <c r="L80" i="11"/>
  <c r="K80" i="11"/>
  <c r="L79" i="11"/>
  <c r="K79" i="11"/>
  <c r="L78" i="11"/>
  <c r="K78" i="11"/>
  <c r="L77" i="11"/>
  <c r="K77" i="11"/>
  <c r="L76" i="11"/>
  <c r="K76" i="11"/>
  <c r="L75" i="11"/>
  <c r="K75" i="11"/>
  <c r="L74" i="11"/>
  <c r="K74" i="11"/>
  <c r="L73" i="11"/>
  <c r="K73" i="11"/>
  <c r="L72" i="11"/>
  <c r="K72" i="11"/>
  <c r="L71" i="11"/>
  <c r="K71" i="11"/>
  <c r="L70" i="11"/>
  <c r="K70" i="11"/>
  <c r="L69" i="11"/>
  <c r="K69" i="11"/>
  <c r="L68" i="11"/>
  <c r="K68" i="11"/>
  <c r="L67" i="11"/>
  <c r="K67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60" i="11"/>
  <c r="K60" i="11"/>
  <c r="L59" i="11"/>
  <c r="K59" i="11"/>
  <c r="L57" i="11"/>
  <c r="K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L11" i="11"/>
  <c r="K11" i="11"/>
  <c r="L10" i="11"/>
  <c r="K10" i="11"/>
  <c r="L9" i="11"/>
  <c r="K9" i="11"/>
  <c r="L8" i="11"/>
  <c r="K8" i="11"/>
  <c r="L7" i="11"/>
  <c r="K7" i="11"/>
  <c r="L6" i="11"/>
  <c r="K6" i="11"/>
  <c r="CJ3" i="11"/>
  <c r="AA9" i="2" l="1"/>
  <c r="X9" i="2"/>
  <c r="X25" i="2" l="1"/>
  <c r="AA25" i="2"/>
  <c r="AA6" i="2"/>
  <c r="X6" i="2"/>
  <c r="AA21" i="2"/>
  <c r="X21" i="2"/>
  <c r="AA46" i="2"/>
  <c r="AA42" i="2" s="1"/>
  <c r="W42" i="2"/>
  <c r="T42" i="2"/>
  <c r="Q42" i="2"/>
  <c r="X46" i="2"/>
  <c r="X42" i="2"/>
  <c r="AB6" i="2" l="1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1" i="2"/>
  <c r="AB22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1" i="2"/>
  <c r="AB42" i="2"/>
  <c r="AB43" i="2"/>
  <c r="AB44" i="2"/>
  <c r="AB45" i="2"/>
  <c r="AB46" i="2"/>
  <c r="AB47" i="2"/>
  <c r="AB48" i="2"/>
  <c r="AB50" i="2"/>
  <c r="Y6" i="2"/>
  <c r="Y7" i="2"/>
  <c r="Y8" i="2"/>
  <c r="Y9" i="2"/>
  <c r="Y10" i="2"/>
  <c r="Y11" i="2"/>
  <c r="Y12" i="2"/>
  <c r="Y13" i="2"/>
  <c r="Y15" i="2"/>
  <c r="Y16" i="2"/>
  <c r="Y17" i="2"/>
  <c r="Y18" i="2"/>
  <c r="Y19" i="2"/>
  <c r="Y21" i="2"/>
  <c r="Y22" i="2"/>
  <c r="Y23" i="2"/>
  <c r="Y24" i="2"/>
  <c r="Y25" i="2"/>
  <c r="Y26" i="2"/>
  <c r="Y27" i="2"/>
  <c r="Y29" i="2"/>
  <c r="Y30" i="2"/>
  <c r="Y31" i="2"/>
  <c r="Y32" i="2"/>
  <c r="Y33" i="2"/>
  <c r="Y34" i="2"/>
  <c r="Y35" i="2"/>
  <c r="Y36" i="2"/>
  <c r="Y37" i="2"/>
  <c r="Y38" i="2"/>
  <c r="Y39" i="2"/>
  <c r="Y41" i="2"/>
  <c r="Y42" i="2"/>
  <c r="Y43" i="2"/>
  <c r="Y44" i="2"/>
  <c r="Y45" i="2"/>
  <c r="Y46" i="2"/>
  <c r="Y47" i="2"/>
  <c r="Y48" i="2"/>
  <c r="Y49" i="2"/>
  <c r="Y50" i="2"/>
  <c r="AA20" i="2"/>
  <c r="AB20" i="2" s="1"/>
  <c r="AA5" i="2"/>
  <c r="AA4" i="2" s="1"/>
  <c r="AB4" i="2" s="1"/>
  <c r="X20" i="2"/>
  <c r="Y20" i="2" s="1"/>
  <c r="X14" i="2"/>
  <c r="Y14" i="2" s="1"/>
  <c r="X5" i="2"/>
  <c r="X4" i="2" s="1"/>
  <c r="AA28" i="2" l="1"/>
  <c r="Y4" i="2"/>
  <c r="X28" i="2"/>
  <c r="AB5" i="2"/>
  <c r="Y5" i="2"/>
  <c r="E131" i="10"/>
  <c r="S102" i="10"/>
  <c r="T44" i="10"/>
  <c r="T42" i="10"/>
  <c r="S42" i="10"/>
  <c r="S43" i="10" s="1"/>
  <c r="S44" i="10"/>
  <c r="T40" i="10"/>
  <c r="T37" i="10"/>
  <c r="T43" i="10" s="1"/>
  <c r="S37" i="10"/>
  <c r="S36" i="10"/>
  <c r="U21" i="10"/>
  <c r="T21" i="10"/>
  <c r="S21" i="10"/>
  <c r="S17" i="10"/>
  <c r="V16" i="10"/>
  <c r="U16" i="10"/>
  <c r="U17" i="10" s="1"/>
  <c r="T16" i="10"/>
  <c r="T17" i="10" s="1"/>
  <c r="S16" i="10"/>
  <c r="S7" i="10"/>
  <c r="T7" i="10" s="1"/>
  <c r="CV3" i="10"/>
  <c r="AA40" i="2" l="1"/>
  <c r="AB40" i="2" s="1"/>
  <c r="AB28" i="2"/>
  <c r="X40" i="2"/>
  <c r="Y40" i="2" s="1"/>
  <c r="Y28" i="2"/>
  <c r="S38" i="10"/>
  <c r="I1" i="10"/>
  <c r="S50" i="10"/>
  <c r="T49" i="10"/>
  <c r="S47" i="10"/>
  <c r="S33" i="10"/>
  <c r="S30" i="10"/>
  <c r="T47" i="10"/>
  <c r="T36" i="10"/>
  <c r="T38" i="10" s="1"/>
  <c r="T5" i="10" s="1"/>
  <c r="S10" i="10" l="1"/>
  <c r="S11" i="10" l="1"/>
  <c r="S12" i="10" s="1"/>
  <c r="S8" i="10"/>
  <c r="S9" i="10" s="1"/>
  <c r="FQ12" i="3" l="1"/>
  <c r="FR12" i="3"/>
  <c r="U46" i="2" l="1"/>
  <c r="U42" i="2" s="1"/>
  <c r="U21" i="2" l="1"/>
  <c r="U20" i="2" s="1"/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9" i="2"/>
  <c r="V30" i="2"/>
  <c r="V31" i="2"/>
  <c r="V32" i="2"/>
  <c r="V33" i="2"/>
  <c r="V34" i="2"/>
  <c r="V35" i="2"/>
  <c r="V36" i="2"/>
  <c r="V37" i="2"/>
  <c r="V38" i="2"/>
  <c r="V39" i="2"/>
  <c r="V41" i="2"/>
  <c r="V42" i="2"/>
  <c r="V43" i="2"/>
  <c r="V44" i="2"/>
  <c r="V45" i="2"/>
  <c r="V46" i="2"/>
  <c r="V47" i="2"/>
  <c r="V48" i="2"/>
  <c r="V49" i="2"/>
  <c r="V50" i="2"/>
  <c r="U5" i="2" l="1"/>
  <c r="V5" i="2" s="1"/>
  <c r="U4" i="2"/>
  <c r="U28" i="2" l="1"/>
  <c r="V4" i="2"/>
  <c r="D24" i="4"/>
  <c r="D30" i="4"/>
  <c r="D29" i="4" s="1"/>
  <c r="FP48" i="3"/>
  <c r="FP47" i="3"/>
  <c r="FP22" i="3" s="1"/>
  <c r="FP16" i="3" s="1"/>
  <c r="U40" i="2" l="1"/>
  <c r="V40" i="2" s="1"/>
  <c r="V28" i="2"/>
  <c r="FP46" i="3"/>
  <c r="FO49" i="3"/>
  <c r="FP38" i="3"/>
  <c r="FP31" i="3" s="1"/>
  <c r="FO38" i="3"/>
  <c r="FO31" i="3" s="1"/>
  <c r="FM12" i="3"/>
  <c r="FN12" i="3"/>
  <c r="FO12" i="3"/>
  <c r="FP12" i="3"/>
  <c r="FT3" i="3" s="1"/>
  <c r="FP30" i="3" l="1"/>
  <c r="C28" i="4" l="1"/>
  <c r="D28" i="4"/>
  <c r="E28" i="4" s="1"/>
  <c r="E21" i="4" s="1"/>
  <c r="E20" i="4" s="1"/>
  <c r="C11" i="4"/>
  <c r="D11" i="4"/>
  <c r="E11" i="4" l="1"/>
  <c r="E4" i="4" s="1"/>
  <c r="E3" i="4" s="1"/>
  <c r="D4" i="4"/>
  <c r="D21" i="4"/>
  <c r="D20" i="4"/>
  <c r="Q28" i="2"/>
  <c r="Q40" i="2"/>
  <c r="S7" i="2"/>
  <c r="S8" i="2"/>
  <c r="S10" i="2"/>
  <c r="S11" i="2"/>
  <c r="S12" i="2"/>
  <c r="S13" i="2"/>
  <c r="S14" i="2"/>
  <c r="S15" i="2"/>
  <c r="S16" i="2"/>
  <c r="S17" i="2"/>
  <c r="S18" i="2"/>
  <c r="S19" i="2"/>
  <c r="S23" i="2"/>
  <c r="S24" i="2"/>
  <c r="S26" i="2"/>
  <c r="S27" i="2"/>
  <c r="S29" i="2"/>
  <c r="S30" i="2"/>
  <c r="S31" i="2"/>
  <c r="S32" i="2"/>
  <c r="S33" i="2"/>
  <c r="S34" i="2"/>
  <c r="S35" i="2"/>
  <c r="S36" i="2"/>
  <c r="S37" i="2"/>
  <c r="S38" i="2"/>
  <c r="S39" i="2"/>
  <c r="S41" i="2"/>
  <c r="S43" i="2"/>
  <c r="S44" i="2"/>
  <c r="S45" i="2"/>
  <c r="S48" i="2"/>
  <c r="R9" i="2"/>
  <c r="S9" i="2" s="1"/>
  <c r="R47" i="2"/>
  <c r="S47" i="2" s="1"/>
  <c r="R22" i="2" l="1"/>
  <c r="S22" i="2" s="1"/>
  <c r="R25" i="2" l="1"/>
  <c r="S25" i="2" s="1"/>
  <c r="R6" i="2" l="1"/>
  <c r="S6" i="2" s="1"/>
  <c r="R46" i="2" l="1"/>
  <c r="S46" i="2" s="1"/>
  <c r="S49" i="2" s="1"/>
  <c r="R42" i="2" l="1"/>
  <c r="S42" i="2" s="1"/>
  <c r="R21" i="2" l="1"/>
  <c r="S21" i="2" s="1"/>
  <c r="R5" i="2"/>
  <c r="S5" i="2" s="1"/>
  <c r="R4" i="2" l="1"/>
  <c r="R20" i="2"/>
  <c r="S20" i="2" s="1"/>
  <c r="R28" i="2" l="1"/>
  <c r="S4" i="2"/>
  <c r="D3" i="4"/>
  <c r="R40" i="2" l="1"/>
  <c r="S40" i="2" s="1"/>
  <c r="S53" i="2" s="1"/>
  <c r="S54" i="2" s="1"/>
  <c r="S28" i="2"/>
  <c r="C24" i="4"/>
  <c r="C21" i="4" s="1"/>
  <c r="C29" i="4"/>
  <c r="CS3" i="9" l="1"/>
  <c r="H1" i="9" l="1"/>
  <c r="P7" i="9" l="1"/>
  <c r="P26" i="9" l="1"/>
  <c r="P29" i="9"/>
  <c r="P95" i="7" l="1"/>
  <c r="Q35" i="7"/>
  <c r="P35" i="7"/>
  <c r="P6" i="7"/>
  <c r="CS3" i="7"/>
  <c r="P9" i="7" l="1"/>
  <c r="P7" i="7"/>
  <c r="H1" i="7"/>
  <c r="P8" i="7"/>
  <c r="P34" i="7"/>
  <c r="P36" i="7" s="1"/>
  <c r="Q34" i="7" l="1"/>
  <c r="Q36" i="7" s="1"/>
  <c r="P10" i="7" l="1"/>
  <c r="P11" i="7" s="1"/>
  <c r="Q6" i="7"/>
  <c r="O25" i="2" l="1"/>
  <c r="O22" i="2"/>
  <c r="O9" i="2"/>
  <c r="P9" i="2" s="1"/>
  <c r="O6" i="2"/>
  <c r="P6" i="2" s="1"/>
  <c r="O21" i="2" l="1"/>
  <c r="N5" i="2" l="1"/>
  <c r="P50" i="2" l="1"/>
  <c r="P49" i="2"/>
  <c r="P48" i="2"/>
  <c r="O46" i="2"/>
  <c r="P47" i="2"/>
  <c r="P46" i="2"/>
  <c r="P45" i="2"/>
  <c r="P44" i="2"/>
  <c r="O43" i="2"/>
  <c r="O42" i="2" s="1"/>
  <c r="N42" i="2"/>
  <c r="P42" i="2" s="1"/>
  <c r="O40" i="2"/>
  <c r="P39" i="2"/>
  <c r="P38" i="2"/>
  <c r="P37" i="2"/>
  <c r="P36" i="2"/>
  <c r="P35" i="2"/>
  <c r="P34" i="2"/>
  <c r="P33" i="2"/>
  <c r="P32" i="2"/>
  <c r="P31" i="2"/>
  <c r="N40" i="2"/>
  <c r="P27" i="2"/>
  <c r="P26" i="2"/>
  <c r="P25" i="2"/>
  <c r="P24" i="2"/>
  <c r="P23" i="2"/>
  <c r="P22" i="2"/>
  <c r="P21" i="2"/>
  <c r="O20" i="2"/>
  <c r="P14" i="2"/>
  <c r="P13" i="2"/>
  <c r="P12" i="2"/>
  <c r="P11" i="2"/>
  <c r="P10" i="2"/>
  <c r="P8" i="2"/>
  <c r="P7" i="2"/>
  <c r="O5" i="2"/>
  <c r="O4" i="2" s="1"/>
  <c r="N4" i="2"/>
  <c r="P20" i="2" l="1"/>
  <c r="O28" i="2"/>
  <c r="O53" i="2" s="1"/>
  <c r="O1" i="2"/>
  <c r="P5" i="2"/>
  <c r="P4" i="2" s="1"/>
  <c r="P28" i="2" s="1"/>
  <c r="P43" i="2"/>
  <c r="N20" i="2"/>
  <c r="N28" i="2" s="1"/>
  <c r="N41" i="2" s="1"/>
  <c r="P30" i="2"/>
  <c r="P40" i="2" s="1"/>
  <c r="I6" i="2"/>
  <c r="N53" i="2" l="1"/>
  <c r="I22" i="2"/>
  <c r="I9" i="2"/>
  <c r="L9" i="2"/>
  <c r="L22" i="2"/>
  <c r="L6" i="2"/>
  <c r="P53" i="2" l="1"/>
  <c r="G34" i="1"/>
  <c r="G33" i="1"/>
  <c r="K14" i="2"/>
  <c r="L47" i="2"/>
  <c r="I47" i="2"/>
  <c r="I46" i="2" s="1"/>
  <c r="L43" i="2"/>
  <c r="I43" i="2"/>
  <c r="I40" i="2"/>
  <c r="L40" i="2"/>
  <c r="L46" i="2"/>
  <c r="L42" i="2" s="1"/>
  <c r="J46" i="2" l="1"/>
  <c r="I42" i="2"/>
  <c r="M49" i="2" l="1"/>
  <c r="J49" i="2"/>
  <c r="J43" i="2"/>
  <c r="J44" i="2"/>
  <c r="J45" i="2"/>
  <c r="J47" i="2"/>
  <c r="J48" i="2"/>
  <c r="J35" i="2"/>
  <c r="J36" i="2"/>
  <c r="J37" i="2"/>
  <c r="J38" i="2"/>
  <c r="J39" i="2"/>
  <c r="M45" i="2"/>
  <c r="M35" i="2"/>
  <c r="M36" i="2"/>
  <c r="M37" i="2"/>
  <c r="M38" i="2"/>
  <c r="M39" i="2"/>
  <c r="R9" i="6"/>
  <c r="S9" i="6"/>
  <c r="Q6" i="6"/>
  <c r="Q8" i="6"/>
  <c r="Q10" i="6"/>
  <c r="Q12" i="6"/>
  <c r="Q14" i="6"/>
  <c r="Q16" i="6"/>
  <c r="Q18" i="6"/>
  <c r="Q20" i="6"/>
  <c r="Q22" i="6"/>
  <c r="Q24" i="6"/>
  <c r="Q28" i="6"/>
  <c r="Q32" i="6"/>
  <c r="Q38" i="6"/>
  <c r="Q42" i="6"/>
  <c r="Q46" i="6"/>
  <c r="Q30" i="6"/>
  <c r="Q36" i="6"/>
  <c r="Q40" i="6"/>
  <c r="Q44" i="6"/>
  <c r="P47" i="6"/>
  <c r="P55" i="6" s="1"/>
  <c r="O47" i="6"/>
  <c r="O55" i="6" s="1"/>
  <c r="N47" i="6"/>
  <c r="M47" i="6"/>
  <c r="M55" i="6" s="1"/>
  <c r="L47" i="6"/>
  <c r="L55" i="6" s="1"/>
  <c r="K47" i="6"/>
  <c r="K55" i="6" s="1"/>
  <c r="I47" i="6"/>
  <c r="I55" i="6" s="1"/>
  <c r="H47" i="6"/>
  <c r="H55" i="6" s="1"/>
  <c r="G47" i="6"/>
  <c r="G55" i="6" s="1"/>
  <c r="E47" i="6"/>
  <c r="E55" i="6" s="1"/>
  <c r="D47" i="6"/>
  <c r="D55" i="6" s="1"/>
  <c r="Q45" i="6"/>
  <c r="Q43" i="6"/>
  <c r="Q41" i="6"/>
  <c r="Q39" i="6"/>
  <c r="Q37" i="6"/>
  <c r="Q35" i="6"/>
  <c r="C34" i="6"/>
  <c r="Q33" i="6"/>
  <c r="Q31" i="6"/>
  <c r="Q29" i="6"/>
  <c r="Q27" i="6"/>
  <c r="C26" i="6"/>
  <c r="Q25" i="6"/>
  <c r="Q23" i="6"/>
  <c r="Q21" i="6"/>
  <c r="Q19" i="6"/>
  <c r="Q17" i="6"/>
  <c r="Q15" i="6"/>
  <c r="Q13" i="6"/>
  <c r="Q11" i="6"/>
  <c r="Q9" i="6"/>
  <c r="C7" i="6"/>
  <c r="Q5" i="6"/>
  <c r="Q4" i="6"/>
  <c r="Q55" i="6" l="1"/>
  <c r="C47" i="6"/>
  <c r="Q47" i="6" s="1"/>
  <c r="R28" i="6"/>
  <c r="Q26" i="6"/>
  <c r="Q34" i="6"/>
  <c r="Q7" i="6"/>
  <c r="G50" i="6"/>
  <c r="I25" i="2" l="1"/>
  <c r="K50" i="2"/>
  <c r="M50" i="2" s="1"/>
  <c r="K48" i="2"/>
  <c r="M48" i="2" s="1"/>
  <c r="K47" i="2"/>
  <c r="M47" i="2" s="1"/>
  <c r="K46" i="2"/>
  <c r="M46" i="2" s="1"/>
  <c r="K44" i="2"/>
  <c r="M44" i="2" s="1"/>
  <c r="K43" i="2"/>
  <c r="M43" i="2" s="1"/>
  <c r="K34" i="2"/>
  <c r="M34" i="2" s="1"/>
  <c r="K33" i="2"/>
  <c r="M33" i="2" s="1"/>
  <c r="K32" i="2"/>
  <c r="M32" i="2" s="1"/>
  <c r="K31" i="2"/>
  <c r="M31" i="2" s="1"/>
  <c r="K30" i="2"/>
  <c r="K27" i="2"/>
  <c r="M27" i="2" s="1"/>
  <c r="K26" i="2"/>
  <c r="M26" i="2" s="1"/>
  <c r="K25" i="2"/>
  <c r="M25" i="2" s="1"/>
  <c r="K24" i="2"/>
  <c r="M24" i="2" s="1"/>
  <c r="K23" i="2"/>
  <c r="M23" i="2" s="1"/>
  <c r="K22" i="2"/>
  <c r="K21" i="2"/>
  <c r="M21" i="2" s="1"/>
  <c r="I20" i="2"/>
  <c r="L20" i="2"/>
  <c r="M22" i="2" l="1"/>
  <c r="M20" i="2" s="1"/>
  <c r="M30" i="2"/>
  <c r="M40" i="2" s="1"/>
  <c r="K40" i="2"/>
  <c r="K20" i="2"/>
  <c r="K42" i="2"/>
  <c r="M42" i="2" s="1"/>
  <c r="I5" i="2"/>
  <c r="I4" i="2" s="1"/>
  <c r="L5" i="2"/>
  <c r="L4" i="2" s="1"/>
  <c r="L1" i="2" s="1"/>
  <c r="M14" i="2"/>
  <c r="K5" i="2"/>
  <c r="K13" i="2"/>
  <c r="M13" i="2" s="1"/>
  <c r="K12" i="2"/>
  <c r="M12" i="2" s="1"/>
  <c r="K11" i="2"/>
  <c r="M11" i="2" s="1"/>
  <c r="K10" i="2"/>
  <c r="M10" i="2" s="1"/>
  <c r="K9" i="2"/>
  <c r="M9" i="2" s="1"/>
  <c r="K8" i="2"/>
  <c r="M8" i="2" s="1"/>
  <c r="K7" i="2"/>
  <c r="M7" i="2" s="1"/>
  <c r="K6" i="2"/>
  <c r="M6" i="2" s="1"/>
  <c r="H50" i="2"/>
  <c r="J50" i="2" s="1"/>
  <c r="H42" i="2"/>
  <c r="J42" i="2" s="1"/>
  <c r="H34" i="2"/>
  <c r="J34" i="2" s="1"/>
  <c r="H33" i="2"/>
  <c r="J33" i="2" s="1"/>
  <c r="H32" i="2"/>
  <c r="J32" i="2" s="1"/>
  <c r="H31" i="2"/>
  <c r="J31" i="2" s="1"/>
  <c r="H30" i="2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K4" i="2" l="1"/>
  <c r="K28" i="2" s="1"/>
  <c r="H40" i="2"/>
  <c r="J30" i="2"/>
  <c r="J40" i="2" s="1"/>
  <c r="J20" i="2"/>
  <c r="L28" i="2"/>
  <c r="L53" i="2" s="1"/>
  <c r="I28" i="2"/>
  <c r="I53" i="2" s="1"/>
  <c r="I1" i="2"/>
  <c r="M5" i="2"/>
  <c r="J5" i="2"/>
  <c r="H4" i="2"/>
  <c r="H20" i="2"/>
  <c r="H28" i="2" l="1"/>
  <c r="H53" i="2" s="1"/>
  <c r="K53" i="2"/>
  <c r="K41" i="2"/>
  <c r="J4" i="2"/>
  <c r="J28" i="2" s="1"/>
  <c r="J53" i="2" s="1"/>
  <c r="M4" i="2"/>
  <c r="M28" i="2" s="1"/>
  <c r="M53" i="2" s="1"/>
  <c r="I8" i="3" l="1"/>
  <c r="M8" i="3"/>
  <c r="Q8" i="3" s="1"/>
  <c r="U8" i="3" s="1"/>
  <c r="Y8" i="3" s="1"/>
  <c r="AC8" i="3" s="1"/>
  <c r="AG8" i="3" s="1"/>
  <c r="AK8" i="3" s="1"/>
  <c r="AO8" i="3" s="1"/>
  <c r="AS8" i="3" s="1"/>
  <c r="AW8" i="3" s="1"/>
  <c r="BA8" i="3" s="1"/>
  <c r="BE8" i="3" s="1"/>
  <c r="BI8" i="3" s="1"/>
  <c r="BM8" i="3" s="1"/>
  <c r="BQ8" i="3" s="1"/>
  <c r="BU8" i="3" s="1"/>
  <c r="BY8" i="3" s="1"/>
  <c r="CC8" i="3" s="1"/>
  <c r="CG8" i="3" s="1"/>
  <c r="CK8" i="3" s="1"/>
  <c r="CO8" i="3" s="1"/>
  <c r="CS8" i="3" s="1"/>
  <c r="CW8" i="3" s="1"/>
  <c r="DA8" i="3" s="1"/>
  <c r="DE8" i="3" s="1"/>
  <c r="DI8" i="3" s="1"/>
  <c r="DM8" i="3" s="1"/>
  <c r="DQ8" i="3" s="1"/>
  <c r="DU8" i="3" s="1"/>
  <c r="DY8" i="3" s="1"/>
  <c r="S205" i="5" l="1"/>
  <c r="P205" i="5"/>
  <c r="U205" i="5" s="1"/>
  <c r="J204" i="5"/>
  <c r="F204" i="5"/>
  <c r="S203" i="5"/>
  <c r="K203" i="5"/>
  <c r="F203" i="5"/>
  <c r="L203" i="5" s="1"/>
  <c r="N203" i="5" s="1"/>
  <c r="P203" i="5" s="1"/>
  <c r="S202" i="5"/>
  <c r="K202" i="5"/>
  <c r="F202" i="5"/>
  <c r="L202" i="5" s="1"/>
  <c r="N202" i="5" s="1"/>
  <c r="P202" i="5" s="1"/>
  <c r="S201" i="5"/>
  <c r="K201" i="5"/>
  <c r="F201" i="5"/>
  <c r="L201" i="5" s="1"/>
  <c r="N201" i="5" s="1"/>
  <c r="P201" i="5" s="1"/>
  <c r="U201" i="5" s="1"/>
  <c r="S200" i="5"/>
  <c r="K200" i="5"/>
  <c r="F200" i="5"/>
  <c r="L200" i="5" s="1"/>
  <c r="N200" i="5" s="1"/>
  <c r="P200" i="5" s="1"/>
  <c r="S199" i="5"/>
  <c r="K199" i="5"/>
  <c r="F199" i="5"/>
  <c r="L199" i="5" s="1"/>
  <c r="N199" i="5" s="1"/>
  <c r="P199" i="5" s="1"/>
  <c r="S198" i="5"/>
  <c r="K198" i="5"/>
  <c r="F198" i="5"/>
  <c r="L198" i="5" s="1"/>
  <c r="N198" i="5" s="1"/>
  <c r="P198" i="5" s="1"/>
  <c r="S197" i="5"/>
  <c r="K197" i="5"/>
  <c r="F197" i="5"/>
  <c r="L197" i="5" s="1"/>
  <c r="N197" i="5" s="1"/>
  <c r="P197" i="5" s="1"/>
  <c r="S196" i="5"/>
  <c r="L196" i="5"/>
  <c r="N196" i="5" s="1"/>
  <c r="P196" i="5" s="1"/>
  <c r="K196" i="5"/>
  <c r="F196" i="5"/>
  <c r="S195" i="5"/>
  <c r="K195" i="5"/>
  <c r="F195" i="5"/>
  <c r="L195" i="5" s="1"/>
  <c r="N195" i="5" s="1"/>
  <c r="P195" i="5" s="1"/>
  <c r="T194" i="5"/>
  <c r="S194" i="5"/>
  <c r="K194" i="5"/>
  <c r="F194" i="5"/>
  <c r="L194" i="5" s="1"/>
  <c r="N194" i="5" s="1"/>
  <c r="P194" i="5" s="1"/>
  <c r="S193" i="5"/>
  <c r="K193" i="5"/>
  <c r="U193" i="5" s="1"/>
  <c r="F193" i="5"/>
  <c r="L193" i="5" s="1"/>
  <c r="N193" i="5" s="1"/>
  <c r="P193" i="5" s="1"/>
  <c r="S192" i="5"/>
  <c r="L192" i="5"/>
  <c r="N192" i="5" s="1"/>
  <c r="P192" i="5" s="1"/>
  <c r="K192" i="5"/>
  <c r="F192" i="5"/>
  <c r="S191" i="5"/>
  <c r="K191" i="5"/>
  <c r="F191" i="5"/>
  <c r="L191" i="5" s="1"/>
  <c r="N191" i="5" s="1"/>
  <c r="P191" i="5" s="1"/>
  <c r="K190" i="5"/>
  <c r="F190" i="5"/>
  <c r="L190" i="5" s="1"/>
  <c r="N190" i="5" s="1"/>
  <c r="P190" i="5" s="1"/>
  <c r="U190" i="5" s="1"/>
  <c r="T189" i="5"/>
  <c r="L189" i="5"/>
  <c r="N189" i="5" s="1"/>
  <c r="P189" i="5" s="1"/>
  <c r="K189" i="5"/>
  <c r="F189" i="5"/>
  <c r="S188" i="5"/>
  <c r="K188" i="5"/>
  <c r="F188" i="5"/>
  <c r="L188" i="5" s="1"/>
  <c r="N188" i="5" s="1"/>
  <c r="P188" i="5" s="1"/>
  <c r="U188" i="5" s="1"/>
  <c r="S187" i="5"/>
  <c r="O187" i="5"/>
  <c r="K187" i="5"/>
  <c r="F187" i="5"/>
  <c r="L187" i="5" s="1"/>
  <c r="N187" i="5" s="1"/>
  <c r="P187" i="5" s="1"/>
  <c r="S186" i="5"/>
  <c r="O186" i="5"/>
  <c r="O173" i="5" s="1"/>
  <c r="O163" i="5" s="1"/>
  <c r="O154" i="5" s="1"/>
  <c r="O146" i="5" s="1"/>
  <c r="L186" i="5"/>
  <c r="N186" i="5" s="1"/>
  <c r="K186" i="5"/>
  <c r="F186" i="5"/>
  <c r="S185" i="5"/>
  <c r="K185" i="5"/>
  <c r="F185" i="5"/>
  <c r="L185" i="5" s="1"/>
  <c r="N185" i="5" s="1"/>
  <c r="P185" i="5" s="1"/>
  <c r="U185" i="5" s="1"/>
  <c r="S184" i="5"/>
  <c r="K184" i="5"/>
  <c r="F184" i="5"/>
  <c r="L184" i="5" s="1"/>
  <c r="N184" i="5" s="1"/>
  <c r="P184" i="5" s="1"/>
  <c r="S183" i="5"/>
  <c r="K183" i="5"/>
  <c r="F183" i="5"/>
  <c r="L183" i="5" s="1"/>
  <c r="N183" i="5" s="1"/>
  <c r="P183" i="5" s="1"/>
  <c r="S182" i="5"/>
  <c r="K182" i="5"/>
  <c r="F182" i="5"/>
  <c r="L182" i="5" s="1"/>
  <c r="N182" i="5" s="1"/>
  <c r="P182" i="5" s="1"/>
  <c r="S181" i="5"/>
  <c r="K181" i="5"/>
  <c r="F181" i="5"/>
  <c r="L181" i="5" s="1"/>
  <c r="N181" i="5" s="1"/>
  <c r="P181" i="5" s="1"/>
  <c r="S180" i="5"/>
  <c r="K180" i="5"/>
  <c r="F180" i="5"/>
  <c r="L180" i="5" s="1"/>
  <c r="N180" i="5" s="1"/>
  <c r="P180" i="5" s="1"/>
  <c r="U180" i="5" s="1"/>
  <c r="S179" i="5"/>
  <c r="K179" i="5"/>
  <c r="F179" i="5"/>
  <c r="L179" i="5" s="1"/>
  <c r="N179" i="5" s="1"/>
  <c r="P179" i="5" s="1"/>
  <c r="S178" i="5"/>
  <c r="K178" i="5"/>
  <c r="F178" i="5"/>
  <c r="L178" i="5" s="1"/>
  <c r="N178" i="5" s="1"/>
  <c r="P178" i="5" s="1"/>
  <c r="S177" i="5"/>
  <c r="K177" i="5"/>
  <c r="C177" i="5"/>
  <c r="F177" i="5" s="1"/>
  <c r="L177" i="5" s="1"/>
  <c r="N177" i="5" s="1"/>
  <c r="P177" i="5" s="1"/>
  <c r="S176" i="5"/>
  <c r="K176" i="5"/>
  <c r="C176" i="5"/>
  <c r="F176" i="5" s="1"/>
  <c r="L176" i="5" s="1"/>
  <c r="N176" i="5" s="1"/>
  <c r="P176" i="5" s="1"/>
  <c r="S175" i="5"/>
  <c r="P175" i="5"/>
  <c r="U175" i="5" s="1"/>
  <c r="K175" i="5"/>
  <c r="F175" i="5"/>
  <c r="L175" i="5" s="1"/>
  <c r="N175" i="5" s="1"/>
  <c r="S174" i="5"/>
  <c r="P174" i="5"/>
  <c r="K174" i="5"/>
  <c r="F174" i="5"/>
  <c r="L174" i="5" s="1"/>
  <c r="N174" i="5" s="1"/>
  <c r="R173" i="5"/>
  <c r="Q173" i="5"/>
  <c r="K173" i="5"/>
  <c r="F173" i="5"/>
  <c r="L173" i="5" s="1"/>
  <c r="N173" i="5" s="1"/>
  <c r="P173" i="5" s="1"/>
  <c r="S172" i="5"/>
  <c r="K172" i="5"/>
  <c r="F172" i="5"/>
  <c r="L172" i="5" s="1"/>
  <c r="N172" i="5" s="1"/>
  <c r="P172" i="5" s="1"/>
  <c r="S171" i="5"/>
  <c r="K171" i="5"/>
  <c r="F171" i="5"/>
  <c r="L171" i="5" s="1"/>
  <c r="N171" i="5" s="1"/>
  <c r="P171" i="5" s="1"/>
  <c r="S170" i="5"/>
  <c r="L170" i="5"/>
  <c r="N170" i="5" s="1"/>
  <c r="P170" i="5" s="1"/>
  <c r="K170" i="5"/>
  <c r="F170" i="5"/>
  <c r="S169" i="5"/>
  <c r="L169" i="5"/>
  <c r="N169" i="5" s="1"/>
  <c r="P169" i="5" s="1"/>
  <c r="K169" i="5"/>
  <c r="F169" i="5"/>
  <c r="S168" i="5"/>
  <c r="L168" i="5"/>
  <c r="N168" i="5" s="1"/>
  <c r="P168" i="5" s="1"/>
  <c r="U168" i="5" s="1"/>
  <c r="K168" i="5"/>
  <c r="F168" i="5"/>
  <c r="S167" i="5"/>
  <c r="K167" i="5"/>
  <c r="F167" i="5"/>
  <c r="L167" i="5" s="1"/>
  <c r="N167" i="5" s="1"/>
  <c r="P167" i="5" s="1"/>
  <c r="U167" i="5" s="1"/>
  <c r="S166" i="5"/>
  <c r="K166" i="5"/>
  <c r="F166" i="5"/>
  <c r="L166" i="5" s="1"/>
  <c r="N166" i="5" s="1"/>
  <c r="P166" i="5" s="1"/>
  <c r="S165" i="5"/>
  <c r="K165" i="5"/>
  <c r="U165" i="5" s="1"/>
  <c r="F165" i="5"/>
  <c r="L165" i="5" s="1"/>
  <c r="N165" i="5" s="1"/>
  <c r="P165" i="5" s="1"/>
  <c r="S164" i="5"/>
  <c r="L164" i="5"/>
  <c r="N164" i="5" s="1"/>
  <c r="P164" i="5" s="1"/>
  <c r="U164" i="5" s="1"/>
  <c r="K164" i="5"/>
  <c r="F164" i="5"/>
  <c r="S163" i="5"/>
  <c r="L163" i="5"/>
  <c r="N163" i="5" s="1"/>
  <c r="K163" i="5"/>
  <c r="F163" i="5"/>
  <c r="S162" i="5"/>
  <c r="P162" i="5"/>
  <c r="U162" i="5" s="1"/>
  <c r="K162" i="5"/>
  <c r="F162" i="5"/>
  <c r="L162" i="5" s="1"/>
  <c r="N162" i="5" s="1"/>
  <c r="S161" i="5"/>
  <c r="K161" i="5"/>
  <c r="F161" i="5"/>
  <c r="L161" i="5" s="1"/>
  <c r="N161" i="5" s="1"/>
  <c r="P161" i="5" s="1"/>
  <c r="S160" i="5"/>
  <c r="K160" i="5"/>
  <c r="F160" i="5"/>
  <c r="L160" i="5" s="1"/>
  <c r="N160" i="5" s="1"/>
  <c r="P160" i="5" s="1"/>
  <c r="S159" i="5"/>
  <c r="L159" i="5"/>
  <c r="N159" i="5" s="1"/>
  <c r="P159" i="5" s="1"/>
  <c r="K159" i="5"/>
  <c r="F159" i="5"/>
  <c r="T158" i="5"/>
  <c r="S158" i="5"/>
  <c r="L158" i="5"/>
  <c r="N158" i="5" s="1"/>
  <c r="P158" i="5" s="1"/>
  <c r="K158" i="5"/>
  <c r="F158" i="5"/>
  <c r="T157" i="5"/>
  <c r="S157" i="5"/>
  <c r="K157" i="5"/>
  <c r="U157" i="5" s="1"/>
  <c r="F157" i="5"/>
  <c r="L157" i="5" s="1"/>
  <c r="N157" i="5" s="1"/>
  <c r="P157" i="5" s="1"/>
  <c r="S156" i="5"/>
  <c r="L156" i="5"/>
  <c r="N156" i="5" s="1"/>
  <c r="P156" i="5" s="1"/>
  <c r="K156" i="5"/>
  <c r="F156" i="5"/>
  <c r="S155" i="5"/>
  <c r="K155" i="5"/>
  <c r="F155" i="5"/>
  <c r="L155" i="5" s="1"/>
  <c r="N155" i="5" s="1"/>
  <c r="P155" i="5" s="1"/>
  <c r="S154" i="5"/>
  <c r="K154" i="5"/>
  <c r="C154" i="5"/>
  <c r="F154" i="5" s="1"/>
  <c r="L154" i="5" s="1"/>
  <c r="N154" i="5" s="1"/>
  <c r="S153" i="5"/>
  <c r="K153" i="5"/>
  <c r="F153" i="5"/>
  <c r="L153" i="5" s="1"/>
  <c r="N153" i="5" s="1"/>
  <c r="P153" i="5" s="1"/>
  <c r="S152" i="5"/>
  <c r="L152" i="5"/>
  <c r="N152" i="5" s="1"/>
  <c r="P152" i="5" s="1"/>
  <c r="K152" i="5"/>
  <c r="F152" i="5"/>
  <c r="S151" i="5"/>
  <c r="K151" i="5"/>
  <c r="F151" i="5"/>
  <c r="L151" i="5" s="1"/>
  <c r="N151" i="5" s="1"/>
  <c r="P151" i="5" s="1"/>
  <c r="Q150" i="5"/>
  <c r="S150" i="5" s="1"/>
  <c r="K150" i="5"/>
  <c r="C150" i="5"/>
  <c r="F150" i="5" s="1"/>
  <c r="L150" i="5" s="1"/>
  <c r="N150" i="5" s="1"/>
  <c r="P150" i="5" s="1"/>
  <c r="S149" i="5"/>
  <c r="K149" i="5"/>
  <c r="F149" i="5"/>
  <c r="L149" i="5" s="1"/>
  <c r="N149" i="5" s="1"/>
  <c r="P149" i="5" s="1"/>
  <c r="Q148" i="5"/>
  <c r="S148" i="5" s="1"/>
  <c r="K148" i="5"/>
  <c r="U148" i="5" s="1"/>
  <c r="C148" i="5"/>
  <c r="F148" i="5" s="1"/>
  <c r="L148" i="5" s="1"/>
  <c r="N148" i="5" s="1"/>
  <c r="P148" i="5" s="1"/>
  <c r="S147" i="5"/>
  <c r="K147" i="5"/>
  <c r="C147" i="5"/>
  <c r="F147" i="5" s="1"/>
  <c r="L147" i="5" s="1"/>
  <c r="N147" i="5" s="1"/>
  <c r="P147" i="5" s="1"/>
  <c r="R146" i="5"/>
  <c r="Q146" i="5"/>
  <c r="S146" i="5" s="1"/>
  <c r="I146" i="5"/>
  <c r="K146" i="5" s="1"/>
  <c r="F146" i="5"/>
  <c r="L146" i="5" s="1"/>
  <c r="N146" i="5" s="1"/>
  <c r="M145" i="5"/>
  <c r="I145" i="5"/>
  <c r="K145" i="5" s="1"/>
  <c r="S144" i="5"/>
  <c r="K144" i="5"/>
  <c r="F144" i="5"/>
  <c r="L144" i="5" s="1"/>
  <c r="N144" i="5" s="1"/>
  <c r="P144" i="5" s="1"/>
  <c r="U144" i="5" s="1"/>
  <c r="S143" i="5"/>
  <c r="P143" i="5"/>
  <c r="K143" i="5"/>
  <c r="U143" i="5" s="1"/>
  <c r="F143" i="5"/>
  <c r="L143" i="5" s="1"/>
  <c r="N143" i="5" s="1"/>
  <c r="S142" i="5"/>
  <c r="K142" i="5"/>
  <c r="F142" i="5"/>
  <c r="L142" i="5" s="1"/>
  <c r="N142" i="5" s="1"/>
  <c r="P142" i="5" s="1"/>
  <c r="U142" i="5" s="1"/>
  <c r="S141" i="5"/>
  <c r="K141" i="5"/>
  <c r="F141" i="5"/>
  <c r="L141" i="5" s="1"/>
  <c r="N141" i="5" s="1"/>
  <c r="P141" i="5" s="1"/>
  <c r="S140" i="5"/>
  <c r="K140" i="5"/>
  <c r="F140" i="5"/>
  <c r="L140" i="5" s="1"/>
  <c r="N140" i="5" s="1"/>
  <c r="P140" i="5" s="1"/>
  <c r="S139" i="5"/>
  <c r="K139" i="5"/>
  <c r="F139" i="5"/>
  <c r="L139" i="5" s="1"/>
  <c r="N139" i="5" s="1"/>
  <c r="P139" i="5" s="1"/>
  <c r="S138" i="5"/>
  <c r="K138" i="5"/>
  <c r="F138" i="5"/>
  <c r="L138" i="5" s="1"/>
  <c r="N138" i="5" s="1"/>
  <c r="P138" i="5" s="1"/>
  <c r="U138" i="5" s="1"/>
  <c r="S137" i="5"/>
  <c r="K137" i="5"/>
  <c r="F137" i="5"/>
  <c r="L137" i="5" s="1"/>
  <c r="N137" i="5" s="1"/>
  <c r="P137" i="5" s="1"/>
  <c r="S136" i="5"/>
  <c r="K136" i="5"/>
  <c r="F136" i="5"/>
  <c r="L136" i="5" s="1"/>
  <c r="N136" i="5" s="1"/>
  <c r="P136" i="5" s="1"/>
  <c r="S135" i="5"/>
  <c r="K135" i="5"/>
  <c r="F135" i="5"/>
  <c r="L135" i="5" s="1"/>
  <c r="N135" i="5" s="1"/>
  <c r="P135" i="5" s="1"/>
  <c r="S134" i="5"/>
  <c r="L134" i="5"/>
  <c r="N134" i="5" s="1"/>
  <c r="P134" i="5" s="1"/>
  <c r="K134" i="5"/>
  <c r="F134" i="5"/>
  <c r="S133" i="5"/>
  <c r="S132" i="5" s="1"/>
  <c r="K133" i="5"/>
  <c r="D133" i="5"/>
  <c r="D132" i="5" s="1"/>
  <c r="D55" i="5" s="1"/>
  <c r="R132" i="5"/>
  <c r="Q132" i="5"/>
  <c r="L132" i="5"/>
  <c r="N132" i="5" s="1"/>
  <c r="P132" i="5" s="1"/>
  <c r="K132" i="5"/>
  <c r="F132" i="5"/>
  <c r="K131" i="5"/>
  <c r="F131" i="5"/>
  <c r="L131" i="5" s="1"/>
  <c r="N131" i="5" s="1"/>
  <c r="P131" i="5" s="1"/>
  <c r="R130" i="5"/>
  <c r="R145" i="5" s="1"/>
  <c r="Q130" i="5"/>
  <c r="J130" i="5"/>
  <c r="I130" i="5"/>
  <c r="C130" i="5"/>
  <c r="C145" i="5" s="1"/>
  <c r="S129" i="5"/>
  <c r="K129" i="5"/>
  <c r="F129" i="5"/>
  <c r="L129" i="5" s="1"/>
  <c r="N129" i="5" s="1"/>
  <c r="P129" i="5" s="1"/>
  <c r="U129" i="5" s="1"/>
  <c r="S128" i="5"/>
  <c r="K128" i="5"/>
  <c r="F128" i="5"/>
  <c r="L128" i="5" s="1"/>
  <c r="N128" i="5" s="1"/>
  <c r="P128" i="5" s="1"/>
  <c r="S127" i="5"/>
  <c r="K127" i="5"/>
  <c r="F127" i="5"/>
  <c r="L127" i="5" s="1"/>
  <c r="N127" i="5" s="1"/>
  <c r="P127" i="5" s="1"/>
  <c r="S126" i="5"/>
  <c r="L126" i="5"/>
  <c r="N126" i="5" s="1"/>
  <c r="P126" i="5" s="1"/>
  <c r="K126" i="5"/>
  <c r="F126" i="5"/>
  <c r="S125" i="5"/>
  <c r="K125" i="5"/>
  <c r="F125" i="5"/>
  <c r="L125" i="5" s="1"/>
  <c r="N125" i="5" s="1"/>
  <c r="P125" i="5" s="1"/>
  <c r="U125" i="5" s="1"/>
  <c r="S124" i="5"/>
  <c r="K124" i="5"/>
  <c r="F124" i="5"/>
  <c r="L124" i="5" s="1"/>
  <c r="N124" i="5" s="1"/>
  <c r="P124" i="5" s="1"/>
  <c r="U123" i="5"/>
  <c r="S123" i="5"/>
  <c r="P123" i="5"/>
  <c r="K123" i="5"/>
  <c r="F123" i="5"/>
  <c r="L123" i="5" s="1"/>
  <c r="N123" i="5" s="1"/>
  <c r="S122" i="5"/>
  <c r="K122" i="5"/>
  <c r="F122" i="5"/>
  <c r="L122" i="5" s="1"/>
  <c r="N122" i="5" s="1"/>
  <c r="P122" i="5" s="1"/>
  <c r="R121" i="5"/>
  <c r="S121" i="5" s="1"/>
  <c r="K121" i="5"/>
  <c r="D121" i="5"/>
  <c r="F121" i="5" s="1"/>
  <c r="L121" i="5" s="1"/>
  <c r="N121" i="5" s="1"/>
  <c r="P121" i="5" s="1"/>
  <c r="U121" i="5" s="1"/>
  <c r="S120" i="5"/>
  <c r="K120" i="5"/>
  <c r="F120" i="5"/>
  <c r="L120" i="5" s="1"/>
  <c r="N120" i="5" s="1"/>
  <c r="P120" i="5" s="1"/>
  <c r="S119" i="5"/>
  <c r="K119" i="5"/>
  <c r="F119" i="5"/>
  <c r="L119" i="5" s="1"/>
  <c r="N119" i="5" s="1"/>
  <c r="P119" i="5" s="1"/>
  <c r="S118" i="5"/>
  <c r="L118" i="5"/>
  <c r="N118" i="5" s="1"/>
  <c r="P118" i="5" s="1"/>
  <c r="K118" i="5"/>
  <c r="F118" i="5"/>
  <c r="S117" i="5"/>
  <c r="K117" i="5"/>
  <c r="F117" i="5"/>
  <c r="L117" i="5" s="1"/>
  <c r="N117" i="5" s="1"/>
  <c r="P117" i="5" s="1"/>
  <c r="S116" i="5"/>
  <c r="K116" i="5"/>
  <c r="F116" i="5"/>
  <c r="L116" i="5" s="1"/>
  <c r="N116" i="5" s="1"/>
  <c r="P116" i="5" s="1"/>
  <c r="S115" i="5"/>
  <c r="K115" i="5"/>
  <c r="F115" i="5"/>
  <c r="L115" i="5" s="1"/>
  <c r="N115" i="5" s="1"/>
  <c r="P115" i="5" s="1"/>
  <c r="U115" i="5" s="1"/>
  <c r="S114" i="5"/>
  <c r="K114" i="5"/>
  <c r="S113" i="5"/>
  <c r="L113" i="5"/>
  <c r="N113" i="5" s="1"/>
  <c r="P113" i="5" s="1"/>
  <c r="K113" i="5"/>
  <c r="F113" i="5"/>
  <c r="S112" i="5"/>
  <c r="K112" i="5"/>
  <c r="F112" i="5"/>
  <c r="L112" i="5" s="1"/>
  <c r="N112" i="5" s="1"/>
  <c r="P112" i="5" s="1"/>
  <c r="S111" i="5"/>
  <c r="L111" i="5"/>
  <c r="N111" i="5" s="1"/>
  <c r="P111" i="5" s="1"/>
  <c r="K111" i="5"/>
  <c r="F111" i="5"/>
  <c r="S110" i="5"/>
  <c r="K110" i="5"/>
  <c r="F110" i="5"/>
  <c r="L110" i="5" s="1"/>
  <c r="N110" i="5" s="1"/>
  <c r="P110" i="5" s="1"/>
  <c r="U110" i="5" s="1"/>
  <c r="T109" i="5"/>
  <c r="S109" i="5"/>
  <c r="U109" i="5" s="1"/>
  <c r="K109" i="5"/>
  <c r="E109" i="5"/>
  <c r="F109" i="5" s="1"/>
  <c r="L109" i="5" s="1"/>
  <c r="N109" i="5" s="1"/>
  <c r="T108" i="5"/>
  <c r="S108" i="5"/>
  <c r="K108" i="5"/>
  <c r="S107" i="5"/>
  <c r="K107" i="5"/>
  <c r="F107" i="5"/>
  <c r="S106" i="5"/>
  <c r="K106" i="5"/>
  <c r="F106" i="5"/>
  <c r="L106" i="5" s="1"/>
  <c r="N106" i="5" s="1"/>
  <c r="P106" i="5" s="1"/>
  <c r="S105" i="5"/>
  <c r="K105" i="5"/>
  <c r="F105" i="5"/>
  <c r="L105" i="5" s="1"/>
  <c r="N105" i="5" s="1"/>
  <c r="P105" i="5" s="1"/>
  <c r="S104" i="5"/>
  <c r="K104" i="5"/>
  <c r="F104" i="5"/>
  <c r="L104" i="5" s="1"/>
  <c r="N104" i="5" s="1"/>
  <c r="S103" i="5"/>
  <c r="K103" i="5"/>
  <c r="F103" i="5"/>
  <c r="L103" i="5" s="1"/>
  <c r="N103" i="5" s="1"/>
  <c r="P103" i="5" s="1"/>
  <c r="U103" i="5" s="1"/>
  <c r="S102" i="5"/>
  <c r="K102" i="5"/>
  <c r="F102" i="5"/>
  <c r="L102" i="5" s="1"/>
  <c r="N102" i="5" s="1"/>
  <c r="P102" i="5" s="1"/>
  <c r="S101" i="5"/>
  <c r="K101" i="5"/>
  <c r="F101" i="5"/>
  <c r="L101" i="5" s="1"/>
  <c r="N101" i="5" s="1"/>
  <c r="P101" i="5" s="1"/>
  <c r="S100" i="5"/>
  <c r="O100" i="5"/>
  <c r="K100" i="5"/>
  <c r="E100" i="5"/>
  <c r="F100" i="5" s="1"/>
  <c r="S99" i="5"/>
  <c r="K99" i="5"/>
  <c r="F99" i="5"/>
  <c r="L99" i="5" s="1"/>
  <c r="N99" i="5" s="1"/>
  <c r="P99" i="5" s="1"/>
  <c r="S98" i="5"/>
  <c r="K98" i="5"/>
  <c r="F98" i="5"/>
  <c r="L98" i="5" s="1"/>
  <c r="N98" i="5" s="1"/>
  <c r="P98" i="5" s="1"/>
  <c r="S97" i="5"/>
  <c r="K97" i="5"/>
  <c r="F97" i="5"/>
  <c r="L97" i="5" s="1"/>
  <c r="N97" i="5" s="1"/>
  <c r="P97" i="5" s="1"/>
  <c r="S96" i="5"/>
  <c r="K96" i="5"/>
  <c r="F96" i="5"/>
  <c r="L96" i="5" s="1"/>
  <c r="N96" i="5" s="1"/>
  <c r="P96" i="5" s="1"/>
  <c r="T95" i="5"/>
  <c r="S95" i="5"/>
  <c r="K95" i="5"/>
  <c r="F95" i="5"/>
  <c r="L95" i="5" s="1"/>
  <c r="N95" i="5" s="1"/>
  <c r="P95" i="5" s="1"/>
  <c r="S94" i="5"/>
  <c r="K94" i="5"/>
  <c r="F94" i="5"/>
  <c r="L94" i="5" s="1"/>
  <c r="N94" i="5" s="1"/>
  <c r="P94" i="5" s="1"/>
  <c r="S93" i="5"/>
  <c r="K93" i="5"/>
  <c r="F93" i="5"/>
  <c r="L93" i="5" s="1"/>
  <c r="N93" i="5" s="1"/>
  <c r="P93" i="5" s="1"/>
  <c r="T92" i="5"/>
  <c r="S92" i="5"/>
  <c r="K92" i="5"/>
  <c r="F92" i="5"/>
  <c r="L92" i="5" s="1"/>
  <c r="N92" i="5" s="1"/>
  <c r="P92" i="5" s="1"/>
  <c r="S91" i="5"/>
  <c r="K91" i="5"/>
  <c r="F91" i="5"/>
  <c r="L91" i="5" s="1"/>
  <c r="N91" i="5" s="1"/>
  <c r="P91" i="5" s="1"/>
  <c r="S90" i="5"/>
  <c r="N90" i="5"/>
  <c r="P90" i="5" s="1"/>
  <c r="U90" i="5" s="1"/>
  <c r="K90" i="5"/>
  <c r="F90" i="5"/>
  <c r="L90" i="5" s="1"/>
  <c r="S89" i="5"/>
  <c r="K89" i="5"/>
  <c r="F89" i="5"/>
  <c r="L89" i="5" s="1"/>
  <c r="N89" i="5" s="1"/>
  <c r="P89" i="5" s="1"/>
  <c r="S88" i="5"/>
  <c r="K88" i="5"/>
  <c r="F88" i="5"/>
  <c r="L88" i="5" s="1"/>
  <c r="N88" i="5" s="1"/>
  <c r="P88" i="5" s="1"/>
  <c r="S87" i="5"/>
  <c r="L87" i="5"/>
  <c r="N87" i="5" s="1"/>
  <c r="P87" i="5" s="1"/>
  <c r="K87" i="5"/>
  <c r="F87" i="5"/>
  <c r="S86" i="5"/>
  <c r="K86" i="5"/>
  <c r="F86" i="5"/>
  <c r="L86" i="5" s="1"/>
  <c r="N86" i="5" s="1"/>
  <c r="P86" i="5" s="1"/>
  <c r="S85" i="5"/>
  <c r="K85" i="5"/>
  <c r="F85" i="5"/>
  <c r="L85" i="5" s="1"/>
  <c r="S84" i="5"/>
  <c r="O84" i="5"/>
  <c r="K84" i="5"/>
  <c r="E84" i="5"/>
  <c r="E130" i="5" s="1"/>
  <c r="E145" i="5" s="1"/>
  <c r="S83" i="5"/>
  <c r="K83" i="5"/>
  <c r="F83" i="5"/>
  <c r="L83" i="5" s="1"/>
  <c r="N83" i="5" s="1"/>
  <c r="P83" i="5" s="1"/>
  <c r="U83" i="5" s="1"/>
  <c r="S82" i="5"/>
  <c r="K82" i="5"/>
  <c r="F82" i="5"/>
  <c r="L82" i="5" s="1"/>
  <c r="N82" i="5" s="1"/>
  <c r="P82" i="5" s="1"/>
  <c r="U82" i="5" s="1"/>
  <c r="S81" i="5"/>
  <c r="K81" i="5"/>
  <c r="F81" i="5"/>
  <c r="L81" i="5" s="1"/>
  <c r="N81" i="5" s="1"/>
  <c r="P81" i="5" s="1"/>
  <c r="U81" i="5" s="1"/>
  <c r="S80" i="5"/>
  <c r="K80" i="5"/>
  <c r="U80" i="5" s="1"/>
  <c r="F80" i="5"/>
  <c r="L80" i="5" s="1"/>
  <c r="N80" i="5" s="1"/>
  <c r="P80" i="5" s="1"/>
  <c r="S79" i="5"/>
  <c r="K79" i="5"/>
  <c r="F79" i="5"/>
  <c r="L79" i="5" s="1"/>
  <c r="N79" i="5" s="1"/>
  <c r="P79" i="5" s="1"/>
  <c r="U79" i="5" s="1"/>
  <c r="S78" i="5"/>
  <c r="N78" i="5"/>
  <c r="P78" i="5" s="1"/>
  <c r="K78" i="5"/>
  <c r="U78" i="5" s="1"/>
  <c r="F78" i="5"/>
  <c r="L78" i="5" s="1"/>
  <c r="S77" i="5"/>
  <c r="K77" i="5"/>
  <c r="F77" i="5"/>
  <c r="L77" i="5" s="1"/>
  <c r="N77" i="5" s="1"/>
  <c r="P77" i="5" s="1"/>
  <c r="S76" i="5"/>
  <c r="K76" i="5"/>
  <c r="F76" i="5"/>
  <c r="L76" i="5" s="1"/>
  <c r="N76" i="5" s="1"/>
  <c r="P76" i="5" s="1"/>
  <c r="S75" i="5"/>
  <c r="L75" i="5"/>
  <c r="N75" i="5" s="1"/>
  <c r="P75" i="5" s="1"/>
  <c r="K75" i="5"/>
  <c r="F75" i="5"/>
  <c r="S74" i="5"/>
  <c r="L74" i="5"/>
  <c r="N74" i="5" s="1"/>
  <c r="P74" i="5" s="1"/>
  <c r="K74" i="5"/>
  <c r="F74" i="5"/>
  <c r="S73" i="5"/>
  <c r="K73" i="5"/>
  <c r="F73" i="5"/>
  <c r="L73" i="5" s="1"/>
  <c r="N73" i="5" s="1"/>
  <c r="P73" i="5" s="1"/>
  <c r="U73" i="5" s="1"/>
  <c r="S72" i="5"/>
  <c r="K72" i="5"/>
  <c r="F72" i="5"/>
  <c r="L72" i="5" s="1"/>
  <c r="N72" i="5" s="1"/>
  <c r="P72" i="5" s="1"/>
  <c r="S71" i="5"/>
  <c r="L71" i="5"/>
  <c r="N71" i="5" s="1"/>
  <c r="P71" i="5" s="1"/>
  <c r="U71" i="5" s="1"/>
  <c r="K71" i="5"/>
  <c r="F71" i="5"/>
  <c r="S70" i="5"/>
  <c r="L70" i="5"/>
  <c r="N70" i="5" s="1"/>
  <c r="P70" i="5" s="1"/>
  <c r="K70" i="5"/>
  <c r="F70" i="5"/>
  <c r="S69" i="5"/>
  <c r="L69" i="5"/>
  <c r="N69" i="5" s="1"/>
  <c r="P69" i="5" s="1"/>
  <c r="K69" i="5"/>
  <c r="F69" i="5"/>
  <c r="S68" i="5"/>
  <c r="K68" i="5"/>
  <c r="F68" i="5"/>
  <c r="L68" i="5" s="1"/>
  <c r="N68" i="5" s="1"/>
  <c r="P68" i="5" s="1"/>
  <c r="S67" i="5"/>
  <c r="K67" i="5"/>
  <c r="F67" i="5"/>
  <c r="L67" i="5" s="1"/>
  <c r="N67" i="5" s="1"/>
  <c r="P67" i="5" s="1"/>
  <c r="S66" i="5"/>
  <c r="K66" i="5"/>
  <c r="F66" i="5"/>
  <c r="L66" i="5" s="1"/>
  <c r="N66" i="5" s="1"/>
  <c r="P66" i="5" s="1"/>
  <c r="S65" i="5"/>
  <c r="K65" i="5"/>
  <c r="F65" i="5"/>
  <c r="L65" i="5" s="1"/>
  <c r="N65" i="5" s="1"/>
  <c r="P65" i="5" s="1"/>
  <c r="S64" i="5"/>
  <c r="N64" i="5"/>
  <c r="P64" i="5" s="1"/>
  <c r="K64" i="5"/>
  <c r="F64" i="5"/>
  <c r="L64" i="5" s="1"/>
  <c r="S63" i="5"/>
  <c r="L63" i="5"/>
  <c r="N63" i="5" s="1"/>
  <c r="P63" i="5" s="1"/>
  <c r="U63" i="5" s="1"/>
  <c r="K63" i="5"/>
  <c r="F63" i="5"/>
  <c r="S62" i="5"/>
  <c r="K62" i="5"/>
  <c r="F62" i="5"/>
  <c r="L62" i="5" s="1"/>
  <c r="N62" i="5" s="1"/>
  <c r="P62" i="5" s="1"/>
  <c r="S61" i="5"/>
  <c r="L61" i="5"/>
  <c r="N61" i="5" s="1"/>
  <c r="P61" i="5" s="1"/>
  <c r="U61" i="5" s="1"/>
  <c r="K61" i="5"/>
  <c r="F61" i="5"/>
  <c r="S60" i="5"/>
  <c r="L60" i="5"/>
  <c r="N60" i="5" s="1"/>
  <c r="P60" i="5" s="1"/>
  <c r="K60" i="5"/>
  <c r="F60" i="5"/>
  <c r="S59" i="5"/>
  <c r="K59" i="5"/>
  <c r="F59" i="5"/>
  <c r="L59" i="5" s="1"/>
  <c r="N59" i="5" s="1"/>
  <c r="P59" i="5" s="1"/>
  <c r="S58" i="5"/>
  <c r="K58" i="5"/>
  <c r="F58" i="5"/>
  <c r="L58" i="5" s="1"/>
  <c r="N58" i="5" s="1"/>
  <c r="P58" i="5" s="1"/>
  <c r="S57" i="5"/>
  <c r="L57" i="5"/>
  <c r="N57" i="5" s="1"/>
  <c r="P57" i="5" s="1"/>
  <c r="K57" i="5"/>
  <c r="F57" i="5"/>
  <c r="T56" i="5"/>
  <c r="S56" i="5"/>
  <c r="L56" i="5"/>
  <c r="N56" i="5" s="1"/>
  <c r="P56" i="5" s="1"/>
  <c r="U56" i="5" s="1"/>
  <c r="K56" i="5"/>
  <c r="F56" i="5"/>
  <c r="T55" i="5"/>
  <c r="S55" i="5"/>
  <c r="K55" i="5"/>
  <c r="H55" i="5"/>
  <c r="H53" i="5" s="1"/>
  <c r="E55" i="5"/>
  <c r="S54" i="5"/>
  <c r="S53" i="5"/>
  <c r="S52" i="5"/>
  <c r="H52" i="5"/>
  <c r="F52" i="5"/>
  <c r="L52" i="5" s="1"/>
  <c r="N52" i="5" s="1"/>
  <c r="S51" i="5"/>
  <c r="K51" i="5"/>
  <c r="F51" i="5"/>
  <c r="L51" i="5" s="1"/>
  <c r="N51" i="5" s="1"/>
  <c r="P51" i="5" s="1"/>
  <c r="U51" i="5" s="1"/>
  <c r="S50" i="5"/>
  <c r="K50" i="5"/>
  <c r="F50" i="5"/>
  <c r="L50" i="5" s="1"/>
  <c r="N50" i="5" s="1"/>
  <c r="S49" i="5"/>
  <c r="K49" i="5"/>
  <c r="F49" i="5"/>
  <c r="L49" i="5" s="1"/>
  <c r="N49" i="5" s="1"/>
  <c r="P49" i="5" s="1"/>
  <c r="S48" i="5"/>
  <c r="L48" i="5"/>
  <c r="N48" i="5" s="1"/>
  <c r="P48" i="5" s="1"/>
  <c r="U48" i="5" s="1"/>
  <c r="K48" i="5"/>
  <c r="F48" i="5"/>
  <c r="S47" i="5"/>
  <c r="L47" i="5"/>
  <c r="N47" i="5" s="1"/>
  <c r="P47" i="5" s="1"/>
  <c r="K47" i="5"/>
  <c r="F47" i="5"/>
  <c r="S46" i="5"/>
  <c r="O46" i="5"/>
  <c r="J46" i="5"/>
  <c r="S45" i="5"/>
  <c r="K45" i="5"/>
  <c r="F45" i="5"/>
  <c r="L45" i="5" s="1"/>
  <c r="N45" i="5" s="1"/>
  <c r="P45" i="5" s="1"/>
  <c r="U45" i="5" s="1"/>
  <c r="S44" i="5"/>
  <c r="L44" i="5"/>
  <c r="N44" i="5" s="1"/>
  <c r="P44" i="5" s="1"/>
  <c r="K44" i="5"/>
  <c r="F44" i="5"/>
  <c r="S43" i="5"/>
  <c r="K43" i="5"/>
  <c r="F43" i="5"/>
  <c r="L43" i="5" s="1"/>
  <c r="N43" i="5" s="1"/>
  <c r="P43" i="5" s="1"/>
  <c r="S42" i="5"/>
  <c r="L42" i="5"/>
  <c r="N42" i="5" s="1"/>
  <c r="P42" i="5" s="1"/>
  <c r="K42" i="5"/>
  <c r="F42" i="5"/>
  <c r="S41" i="5"/>
  <c r="K41" i="5"/>
  <c r="F41" i="5"/>
  <c r="L41" i="5" s="1"/>
  <c r="N41" i="5" s="1"/>
  <c r="P41" i="5" s="1"/>
  <c r="S40" i="5"/>
  <c r="K40" i="5"/>
  <c r="F40" i="5"/>
  <c r="L40" i="5" s="1"/>
  <c r="N40" i="5" s="1"/>
  <c r="P40" i="5" s="1"/>
  <c r="S39" i="5"/>
  <c r="K39" i="5"/>
  <c r="F39" i="5"/>
  <c r="L39" i="5" s="1"/>
  <c r="N39" i="5" s="1"/>
  <c r="P39" i="5" s="1"/>
  <c r="S38" i="5"/>
  <c r="N38" i="5"/>
  <c r="P38" i="5" s="1"/>
  <c r="K38" i="5"/>
  <c r="U38" i="5" s="1"/>
  <c r="F38" i="5"/>
  <c r="L38" i="5" s="1"/>
  <c r="S37" i="5"/>
  <c r="K37" i="5"/>
  <c r="F37" i="5"/>
  <c r="L37" i="5" s="1"/>
  <c r="N37" i="5" s="1"/>
  <c r="P37" i="5" s="1"/>
  <c r="S36" i="5"/>
  <c r="K36" i="5"/>
  <c r="F36" i="5"/>
  <c r="L36" i="5" s="1"/>
  <c r="N36" i="5" s="1"/>
  <c r="P36" i="5" s="1"/>
  <c r="S35" i="5"/>
  <c r="K35" i="5"/>
  <c r="U35" i="5" s="1"/>
  <c r="F35" i="5"/>
  <c r="L35" i="5" s="1"/>
  <c r="N35" i="5" s="1"/>
  <c r="P35" i="5" s="1"/>
  <c r="S34" i="5"/>
  <c r="L34" i="5"/>
  <c r="N34" i="5" s="1"/>
  <c r="P34" i="5" s="1"/>
  <c r="K34" i="5"/>
  <c r="F34" i="5"/>
  <c r="S33" i="5"/>
  <c r="K33" i="5"/>
  <c r="F33" i="5"/>
  <c r="L33" i="5" s="1"/>
  <c r="N33" i="5" s="1"/>
  <c r="P33" i="5" s="1"/>
  <c r="S32" i="5"/>
  <c r="K32" i="5"/>
  <c r="F32" i="5"/>
  <c r="L32" i="5" s="1"/>
  <c r="N32" i="5" s="1"/>
  <c r="P32" i="5" s="1"/>
  <c r="S31" i="5"/>
  <c r="L31" i="5"/>
  <c r="N31" i="5" s="1"/>
  <c r="P31" i="5" s="1"/>
  <c r="U31" i="5" s="1"/>
  <c r="K31" i="5"/>
  <c r="F31" i="5"/>
  <c r="S30" i="5"/>
  <c r="K30" i="5"/>
  <c r="F30" i="5"/>
  <c r="L30" i="5" s="1"/>
  <c r="N30" i="5" s="1"/>
  <c r="P30" i="5" s="1"/>
  <c r="S29" i="5"/>
  <c r="L29" i="5"/>
  <c r="N29" i="5" s="1"/>
  <c r="P29" i="5" s="1"/>
  <c r="K29" i="5"/>
  <c r="F29" i="5"/>
  <c r="S28" i="5"/>
  <c r="K28" i="5"/>
  <c r="F28" i="5"/>
  <c r="L28" i="5" s="1"/>
  <c r="N28" i="5" s="1"/>
  <c r="P28" i="5" s="1"/>
  <c r="S27" i="5"/>
  <c r="L27" i="5"/>
  <c r="N27" i="5" s="1"/>
  <c r="P27" i="5" s="1"/>
  <c r="K27" i="5"/>
  <c r="U27" i="5" s="1"/>
  <c r="F27" i="5"/>
  <c r="S26" i="5"/>
  <c r="K26" i="5"/>
  <c r="F26" i="5"/>
  <c r="L26" i="5" s="1"/>
  <c r="N26" i="5" s="1"/>
  <c r="P26" i="5" s="1"/>
  <c r="S25" i="5"/>
  <c r="J25" i="5"/>
  <c r="F25" i="5"/>
  <c r="S24" i="5"/>
  <c r="J24" i="5"/>
  <c r="K24" i="5" s="1"/>
  <c r="F24" i="5"/>
  <c r="S23" i="5"/>
  <c r="J23" i="5"/>
  <c r="K23" i="5" s="1"/>
  <c r="F23" i="5"/>
  <c r="S22" i="5"/>
  <c r="J22" i="5"/>
  <c r="F22" i="5"/>
  <c r="S21" i="5"/>
  <c r="J21" i="5"/>
  <c r="K21" i="5" s="1"/>
  <c r="F21" i="5"/>
  <c r="L21" i="5" s="1"/>
  <c r="N21" i="5" s="1"/>
  <c r="P21" i="5" s="1"/>
  <c r="S20" i="5"/>
  <c r="J20" i="5"/>
  <c r="K20" i="5" s="1"/>
  <c r="F20" i="5"/>
  <c r="S19" i="5"/>
  <c r="J19" i="5"/>
  <c r="F19" i="5"/>
  <c r="S18" i="5"/>
  <c r="J18" i="5"/>
  <c r="K18" i="5" s="1"/>
  <c r="F18" i="5"/>
  <c r="S17" i="5"/>
  <c r="J17" i="5"/>
  <c r="K17" i="5" s="1"/>
  <c r="F17" i="5"/>
  <c r="S16" i="5"/>
  <c r="J16" i="5"/>
  <c r="K16" i="5" s="1"/>
  <c r="F16" i="5"/>
  <c r="L16" i="5" s="1"/>
  <c r="N16" i="5" s="1"/>
  <c r="P16" i="5" s="1"/>
  <c r="S15" i="5"/>
  <c r="M15" i="5"/>
  <c r="J15" i="5"/>
  <c r="F15" i="5"/>
  <c r="S14" i="5"/>
  <c r="J14" i="5"/>
  <c r="K14" i="5" s="1"/>
  <c r="F14" i="5"/>
  <c r="S13" i="5"/>
  <c r="J13" i="5"/>
  <c r="K13" i="5" s="1"/>
  <c r="F13" i="5"/>
  <c r="L13" i="5" s="1"/>
  <c r="N13" i="5" s="1"/>
  <c r="P13" i="5" s="1"/>
  <c r="S12" i="5"/>
  <c r="J12" i="5"/>
  <c r="F12" i="5"/>
  <c r="S11" i="5"/>
  <c r="J11" i="5"/>
  <c r="K11" i="5" s="1"/>
  <c r="F11" i="5"/>
  <c r="L11" i="5" s="1"/>
  <c r="N11" i="5" s="1"/>
  <c r="P11" i="5" s="1"/>
  <c r="S10" i="5"/>
  <c r="J10" i="5"/>
  <c r="K10" i="5" s="1"/>
  <c r="F10" i="5"/>
  <c r="L10" i="5" s="1"/>
  <c r="N10" i="5" s="1"/>
  <c r="P10" i="5" s="1"/>
  <c r="U10" i="5" s="1"/>
  <c r="S9" i="5"/>
  <c r="J9" i="5"/>
  <c r="F9" i="5"/>
  <c r="S8" i="5"/>
  <c r="J8" i="5"/>
  <c r="K8" i="5" s="1"/>
  <c r="U8" i="5" s="1"/>
  <c r="F8" i="5"/>
  <c r="L8" i="5" s="1"/>
  <c r="N8" i="5" s="1"/>
  <c r="P8" i="5" s="1"/>
  <c r="S7" i="5"/>
  <c r="J7" i="5"/>
  <c r="K7" i="5" s="1"/>
  <c r="F7" i="5"/>
  <c r="L7" i="5" s="1"/>
  <c r="N7" i="5" s="1"/>
  <c r="P7" i="5" s="1"/>
  <c r="U7" i="5" s="1"/>
  <c r="S6" i="5"/>
  <c r="L6" i="5"/>
  <c r="N6" i="5" s="1"/>
  <c r="P6" i="5" s="1"/>
  <c r="K6" i="5"/>
  <c r="J6" i="5"/>
  <c r="F6" i="5"/>
  <c r="S5" i="5"/>
  <c r="K5" i="5"/>
  <c r="J5" i="5"/>
  <c r="F5" i="5"/>
  <c r="L5" i="5" s="1"/>
  <c r="N5" i="5" s="1"/>
  <c r="P5" i="5" s="1"/>
  <c r="S4" i="5"/>
  <c r="J4" i="5"/>
  <c r="K4" i="5" s="1"/>
  <c r="F4" i="5"/>
  <c r="L4" i="5" s="1"/>
  <c r="N4" i="5" s="1"/>
  <c r="P4" i="5" s="1"/>
  <c r="S3" i="5"/>
  <c r="M3" i="5"/>
  <c r="M2" i="5" s="1"/>
  <c r="L3" i="5"/>
  <c r="J3" i="5"/>
  <c r="K3" i="5" s="1"/>
  <c r="F3" i="5"/>
  <c r="S2" i="5"/>
  <c r="O2" i="5"/>
  <c r="K2" i="5"/>
  <c r="U159" i="5" l="1"/>
  <c r="U4" i="5"/>
  <c r="U16" i="5"/>
  <c r="U72" i="5"/>
  <c r="U101" i="5"/>
  <c r="U124" i="5"/>
  <c r="U189" i="5"/>
  <c r="U192" i="5"/>
  <c r="U202" i="5"/>
  <c r="D114" i="5"/>
  <c r="D84" i="5" s="1"/>
  <c r="U21" i="5"/>
  <c r="U60" i="5"/>
  <c r="U88" i="5"/>
  <c r="U111" i="5"/>
  <c r="R204" i="5"/>
  <c r="U174" i="5"/>
  <c r="U199" i="5"/>
  <c r="U57" i="5"/>
  <c r="U181" i="5"/>
  <c r="U184" i="5"/>
  <c r="L9" i="5"/>
  <c r="N9" i="5" s="1"/>
  <c r="P9" i="5" s="1"/>
  <c r="U33" i="5"/>
  <c r="U58" i="5"/>
  <c r="U92" i="5"/>
  <c r="U141" i="5"/>
  <c r="U172" i="5"/>
  <c r="U178" i="5"/>
  <c r="U200" i="5"/>
  <c r="U203" i="5"/>
  <c r="U105" i="5"/>
  <c r="U42" i="5"/>
  <c r="U112" i="5"/>
  <c r="U119" i="5"/>
  <c r="U122" i="5"/>
  <c r="T155" i="5"/>
  <c r="T146" i="5" s="1"/>
  <c r="U13" i="5"/>
  <c r="U155" i="5"/>
  <c r="S173" i="5"/>
  <c r="U173" i="5" s="1"/>
  <c r="U70" i="5"/>
  <c r="S130" i="5"/>
  <c r="S145" i="5" s="1"/>
  <c r="U37" i="5"/>
  <c r="U40" i="5"/>
  <c r="U77" i="5"/>
  <c r="U86" i="5"/>
  <c r="U106" i="5"/>
  <c r="U116" i="5"/>
  <c r="U139" i="5"/>
  <c r="U160" i="5"/>
  <c r="U196" i="5"/>
  <c r="U75" i="5"/>
  <c r="L24" i="5"/>
  <c r="N24" i="5" s="1"/>
  <c r="P24" i="5" s="1"/>
  <c r="U65" i="5"/>
  <c r="U93" i="5"/>
  <c r="U136" i="5"/>
  <c r="U149" i="5"/>
  <c r="U182" i="5"/>
  <c r="P154" i="5"/>
  <c r="U154" i="5" s="1"/>
  <c r="U59" i="5"/>
  <c r="T187" i="5"/>
  <c r="T173" i="5" s="1"/>
  <c r="U5" i="5"/>
  <c r="U28" i="5"/>
  <c r="L14" i="5"/>
  <c r="N14" i="5" s="1"/>
  <c r="P14" i="5" s="1"/>
  <c r="U43" i="5"/>
  <c r="U69" i="5"/>
  <c r="U195" i="5"/>
  <c r="U198" i="5"/>
  <c r="M108" i="5"/>
  <c r="M107" i="5" s="1"/>
  <c r="M84" i="5" s="1"/>
  <c r="M130" i="5" s="1"/>
  <c r="U24" i="5"/>
  <c r="U66" i="5"/>
  <c r="U6" i="5"/>
  <c r="U44" i="5"/>
  <c r="U47" i="5"/>
  <c r="U98" i="5"/>
  <c r="U117" i="5"/>
  <c r="P163" i="5"/>
  <c r="U166" i="5"/>
  <c r="P52" i="5"/>
  <c r="U52" i="5" s="1"/>
  <c r="H50" i="5"/>
  <c r="P50" i="5" s="1"/>
  <c r="U50" i="5" s="1"/>
  <c r="U68" i="5"/>
  <c r="U127" i="5"/>
  <c r="P146" i="5"/>
  <c r="U146" i="5" s="1"/>
  <c r="S204" i="5"/>
  <c r="U102" i="5"/>
  <c r="U89" i="5"/>
  <c r="L12" i="5"/>
  <c r="N12" i="5" s="1"/>
  <c r="P12" i="5" s="1"/>
  <c r="K12" i="5"/>
  <c r="U12" i="5" s="1"/>
  <c r="U29" i="5"/>
  <c r="U32" i="5"/>
  <c r="U74" i="5"/>
  <c r="U140" i="5"/>
  <c r="U161" i="5"/>
  <c r="U85" i="5"/>
  <c r="L15" i="5"/>
  <c r="N15" i="5" s="1"/>
  <c r="P15" i="5" s="1"/>
  <c r="K15" i="5"/>
  <c r="U15" i="5" s="1"/>
  <c r="L18" i="5"/>
  <c r="N18" i="5" s="1"/>
  <c r="P18" i="5" s="1"/>
  <c r="U18" i="5" s="1"/>
  <c r="U156" i="5"/>
  <c r="U197" i="5"/>
  <c r="U183" i="5"/>
  <c r="U30" i="5"/>
  <c r="N3" i="5"/>
  <c r="P3" i="5" s="1"/>
  <c r="U3" i="5" s="1"/>
  <c r="U41" i="5"/>
  <c r="U39" i="5"/>
  <c r="U67" i="5"/>
  <c r="U94" i="5"/>
  <c r="P104" i="5"/>
  <c r="U104" i="5" s="1"/>
  <c r="U120" i="5"/>
  <c r="U126" i="5"/>
  <c r="U151" i="5"/>
  <c r="U87" i="5"/>
  <c r="U113" i="5"/>
  <c r="U118" i="5"/>
  <c r="U128" i="5"/>
  <c r="Q145" i="5"/>
  <c r="Q204" i="5" s="1"/>
  <c r="U169" i="5"/>
  <c r="U179" i="5"/>
  <c r="O204" i="5"/>
  <c r="U62" i="5"/>
  <c r="U152" i="5"/>
  <c r="U191" i="5"/>
  <c r="U131" i="5"/>
  <c r="K46" i="5"/>
  <c r="J53" i="5"/>
  <c r="J54" i="5"/>
  <c r="K54" i="5" s="1"/>
  <c r="U17" i="5"/>
  <c r="L19" i="5"/>
  <c r="N19" i="5" s="1"/>
  <c r="P19" i="5" s="1"/>
  <c r="K19" i="5"/>
  <c r="U23" i="5"/>
  <c r="L25" i="5"/>
  <c r="N25" i="5" s="1"/>
  <c r="P25" i="5" s="1"/>
  <c r="K25" i="5"/>
  <c r="U36" i="5"/>
  <c r="N85" i="5"/>
  <c r="P85" i="5" s="1"/>
  <c r="U158" i="5"/>
  <c r="U177" i="5"/>
  <c r="U194" i="5"/>
  <c r="K9" i="5"/>
  <c r="U11" i="5"/>
  <c r="L17" i="5"/>
  <c r="N17" i="5" s="1"/>
  <c r="P17" i="5" s="1"/>
  <c r="L23" i="5"/>
  <c r="N23" i="5" s="1"/>
  <c r="P23" i="5" s="1"/>
  <c r="U76" i="5"/>
  <c r="U91" i="5"/>
  <c r="U96" i="5"/>
  <c r="U99" i="5"/>
  <c r="U153" i="5"/>
  <c r="U150" i="5"/>
  <c r="U34" i="5"/>
  <c r="U49" i="5"/>
  <c r="U132" i="5"/>
  <c r="U134" i="5"/>
  <c r="U137" i="5"/>
  <c r="U163" i="5"/>
  <c r="U170" i="5"/>
  <c r="I204" i="5"/>
  <c r="U97" i="5"/>
  <c r="K130" i="5"/>
  <c r="U14" i="5"/>
  <c r="L22" i="5"/>
  <c r="N22" i="5" s="1"/>
  <c r="P22" i="5" s="1"/>
  <c r="K22" i="5"/>
  <c r="U22" i="5" s="1"/>
  <c r="U26" i="5"/>
  <c r="U108" i="5"/>
  <c r="U135" i="5"/>
  <c r="K204" i="5"/>
  <c r="U171" i="5"/>
  <c r="L20" i="5"/>
  <c r="N20" i="5" s="1"/>
  <c r="P20" i="5" s="1"/>
  <c r="U20" i="5" s="1"/>
  <c r="U64" i="5"/>
  <c r="U95" i="5"/>
  <c r="F55" i="5"/>
  <c r="L55" i="5" s="1"/>
  <c r="N55" i="5" s="1"/>
  <c r="P55" i="5" s="1"/>
  <c r="U55" i="5" s="1"/>
  <c r="U147" i="5"/>
  <c r="U176" i="5"/>
  <c r="P186" i="5"/>
  <c r="U186" i="5" s="1"/>
  <c r="F133" i="5"/>
  <c r="L133" i="5" s="1"/>
  <c r="N133" i="5" s="1"/>
  <c r="P133" i="5" s="1"/>
  <c r="U133" i="5" s="1"/>
  <c r="C20" i="4"/>
  <c r="C4" i="4"/>
  <c r="C3" i="4" s="1"/>
  <c r="FL51" i="3"/>
  <c r="FE51" i="3"/>
  <c r="FL50" i="3"/>
  <c r="FK50" i="3"/>
  <c r="FJ50" i="3"/>
  <c r="FJ49" i="3" s="1"/>
  <c r="FI50" i="3"/>
  <c r="FI49" i="3" s="1"/>
  <c r="FH50" i="3"/>
  <c r="FH49" i="3" s="1"/>
  <c r="FH46" i="3" s="1"/>
  <c r="FG50" i="3"/>
  <c r="FG49" i="3" s="1"/>
  <c r="FF50" i="3"/>
  <c r="FF49" i="3" s="1"/>
  <c r="FE50" i="3"/>
  <c r="FK49" i="3"/>
  <c r="FD49" i="3"/>
  <c r="FD46" i="3" s="1"/>
  <c r="FL48" i="3"/>
  <c r="FK48" i="3"/>
  <c r="FJ48" i="3"/>
  <c r="FI48" i="3"/>
  <c r="FG48" i="3"/>
  <c r="FF48" i="3"/>
  <c r="FE48" i="3"/>
  <c r="FL47" i="3"/>
  <c r="FK47" i="3"/>
  <c r="FJ47" i="3"/>
  <c r="FI47" i="3"/>
  <c r="FG47" i="3"/>
  <c r="FF47" i="3"/>
  <c r="FE47" i="3"/>
  <c r="FL39" i="3"/>
  <c r="FL38" i="3" s="1"/>
  <c r="FK39" i="3"/>
  <c r="FK38" i="3" s="1"/>
  <c r="FJ39" i="3"/>
  <c r="FJ38" i="3" s="1"/>
  <c r="FI39" i="3"/>
  <c r="FI38" i="3" s="1"/>
  <c r="FG39" i="3"/>
  <c r="FG38" i="3" s="1"/>
  <c r="FF39" i="3"/>
  <c r="FF38" i="3" s="1"/>
  <c r="FE39" i="3"/>
  <c r="FE38" i="3" s="1"/>
  <c r="FH38" i="3"/>
  <c r="FL36" i="3"/>
  <c r="FK36" i="3"/>
  <c r="FK31" i="3" s="1"/>
  <c r="FJ36" i="3"/>
  <c r="FI36" i="3"/>
  <c r="FH36" i="3"/>
  <c r="FG36" i="3"/>
  <c r="FF36" i="3"/>
  <c r="FE36" i="3"/>
  <c r="FD31" i="3"/>
  <c r="FI14" i="3"/>
  <c r="FL13" i="3"/>
  <c r="FL12" i="3" s="1"/>
  <c r="FK13" i="3"/>
  <c r="FK12" i="3" s="1"/>
  <c r="FJ13" i="3"/>
  <c r="FJ12" i="3" s="1"/>
  <c r="FI13" i="3"/>
  <c r="FH12" i="3"/>
  <c r="FG12" i="3"/>
  <c r="FF12" i="3"/>
  <c r="FE12" i="3"/>
  <c r="FD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C8" i="3"/>
  <c r="EG8" i="3" s="1"/>
  <c r="EK8" i="3" s="1"/>
  <c r="EO8" i="3" s="1"/>
  <c r="ES8" i="3" s="1"/>
  <c r="EW8" i="3" s="1"/>
  <c r="FA8" i="3" s="1"/>
  <c r="FE8" i="3" s="1"/>
  <c r="FI8" i="3" s="1"/>
  <c r="U19" i="5" l="1"/>
  <c r="FE49" i="3"/>
  <c r="FE46" i="3" s="1"/>
  <c r="U9" i="5"/>
  <c r="F114" i="5"/>
  <c r="L114" i="5" s="1"/>
  <c r="N114" i="5" s="1"/>
  <c r="P114" i="5" s="1"/>
  <c r="U114" i="5" s="1"/>
  <c r="FL31" i="3"/>
  <c r="U25" i="5"/>
  <c r="U187" i="5"/>
  <c r="FJ46" i="3"/>
  <c r="FH31" i="3"/>
  <c r="FH30" i="3" s="1"/>
  <c r="FF31" i="3"/>
  <c r="FG46" i="3"/>
  <c r="FK46" i="3"/>
  <c r="FK30" i="3" s="1"/>
  <c r="FL49" i="3"/>
  <c r="FL46" i="3" s="1"/>
  <c r="FI12" i="3"/>
  <c r="FE31" i="3"/>
  <c r="FG31" i="3"/>
  <c r="FI46" i="3"/>
  <c r="F84" i="5"/>
  <c r="D54" i="5"/>
  <c r="T54" i="5"/>
  <c r="K53" i="5"/>
  <c r="M204" i="5"/>
  <c r="FL30" i="3"/>
  <c r="FI31" i="3"/>
  <c r="FI30" i="3" s="1"/>
  <c r="FJ31" i="3"/>
  <c r="FF46" i="3"/>
  <c r="FF30" i="3" l="1"/>
  <c r="FJ30" i="3"/>
  <c r="FE30" i="3"/>
  <c r="FG30" i="3"/>
  <c r="T53" i="5"/>
  <c r="T46" i="5" s="1"/>
  <c r="T2" i="5" s="1"/>
  <c r="E108" i="5"/>
  <c r="F108" i="5" s="1"/>
  <c r="L108" i="5" s="1"/>
  <c r="E54" i="5"/>
  <c r="F54" i="5"/>
  <c r="L54" i="5" s="1"/>
  <c r="N54" i="5" s="1"/>
  <c r="P54" i="5" s="1"/>
  <c r="U54" i="5" s="1"/>
  <c r="D53" i="5"/>
  <c r="E53" i="5" l="1"/>
  <c r="E46" i="5" s="1"/>
  <c r="D46" i="5"/>
  <c r="F53" i="5"/>
  <c r="L53" i="5" s="1"/>
  <c r="N53" i="5" s="1"/>
  <c r="P53" i="5" s="1"/>
  <c r="U53" i="5" s="1"/>
  <c r="N108" i="5"/>
  <c r="L107" i="5"/>
  <c r="CC3" i="1"/>
  <c r="L100" i="5" l="1"/>
  <c r="L84" i="5" s="1"/>
  <c r="N84" i="5" s="1"/>
  <c r="P84" i="5" s="1"/>
  <c r="N107" i="5"/>
  <c r="D2" i="5"/>
  <c r="F46" i="5"/>
  <c r="L46" i="5" s="1"/>
  <c r="D130" i="5" l="1"/>
  <c r="D145" i="5" s="1"/>
  <c r="F2" i="5"/>
  <c r="F130" i="5" s="1"/>
  <c r="F145" i="5" s="1"/>
  <c r="L145" i="5" s="1"/>
  <c r="N145" i="5" s="1"/>
  <c r="P145" i="5" s="1"/>
  <c r="N46" i="5"/>
  <c r="P46" i="5" s="1"/>
  <c r="U46" i="5" s="1"/>
  <c r="L2" i="5"/>
  <c r="P107" i="5"/>
  <c r="N100" i="5"/>
  <c r="P100" i="5" s="1"/>
  <c r="L204" i="5" l="1"/>
  <c r="N2" i="5"/>
  <c r="L130" i="5"/>
  <c r="P204" i="5"/>
  <c r="T107" i="5"/>
  <c r="T100" i="5" s="1"/>
  <c r="T84" i="5" s="1"/>
  <c r="T145" i="5" l="1"/>
  <c r="U145" i="5" s="1"/>
  <c r="U204" i="5" s="1"/>
  <c r="T204" i="5"/>
  <c r="U84" i="5"/>
  <c r="U100" i="5"/>
  <c r="N130" i="5"/>
  <c r="P130" i="5" s="1"/>
  <c r="U130" i="5" s="1"/>
  <c r="N204" i="5"/>
  <c r="P2" i="5"/>
  <c r="U2" i="5" s="1"/>
  <c r="U10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Bocar</author>
  </authors>
  <commentList>
    <comment ref="I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IRCCAP: 10,7 milliards
IR compte de dépôt :5,6 milliards
IR corps émergents : 0,199 milliards+0,197 milliard+0,192 milliard</t>
        </r>
      </text>
    </comment>
    <comment ref="L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IRCCAP: 23,7 milliards
IR compte de dépôt: 14,69
IR corps émergent: 1,19 milliards
</t>
        </r>
      </text>
    </comment>
    <comment ref="O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IRCCAP: 35,95 milliards
IR compte de dépôt: 16,3
IR corps émergent: 1,51 milliards (estimation)
IS senenlec :29,9</t>
        </r>
      </text>
    </comment>
    <comment ref="R6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CCAP:48,20
IR sur compte de dépôt:17,49
IR corps émergents:
IS senelec: 29,9</t>
        </r>
      </text>
    </comment>
    <comment ref="U6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 11,83
IR sur compte de dépôt: 
IR corp émergents:
</t>
        </r>
      </text>
    </comment>
    <comment ref="X6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 23,6
IR compte de depot: 12,59</t>
        </r>
      </text>
    </comment>
    <comment ref="AA6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 35,9
IR compte depot: 17,43</t>
        </r>
      </text>
    </comment>
    <comment ref="AD6" authorId="1" shapeId="0" xr:uid="{00000000-0006-0000-0900-000008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 : 48,93
IR compte de depot: 21,3</t>
        </r>
      </text>
    </comment>
    <comment ref="AG6" authorId="1" shapeId="0" xr:uid="{00000000-0006-0000-0900-000009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CCAP 10,99</t>
        </r>
      </text>
    </comment>
    <comment ref="AJ6" authorId="1" shapeId="0" xr:uid="{00000000-0006-0000-0900-00000A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CCAP: 21,7 mds</t>
        </r>
      </text>
    </comment>
    <comment ref="AM6" authorId="1" shapeId="0" xr:uid="{00000000-0006-0000-0900-00000B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CCAP: 33,85</t>
        </r>
      </text>
    </comment>
    <comment ref="AP6" authorId="1" shapeId="0" xr:uid="{00000000-0006-0000-0900-00000C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IRCCAP: 45,5 mds</t>
        </r>
      </text>
    </comment>
    <comment ref="AS6" authorId="1" shapeId="0" xr:uid="{00000000-0006-0000-0900-00000D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CCAP: 12,7</t>
        </r>
      </text>
    </comment>
    <comment ref="AV6" authorId="1" shapeId="0" xr:uid="{00000000-0006-0000-0900-00000E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CCAP: 25,11</t>
        </r>
      </text>
    </comment>
    <comment ref="I9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sur compte de dépôt : 21,7
Ch DI: 17,2 milliards
TVA précompté : 1,15 milliard
</t>
        </r>
      </text>
    </comment>
    <comment ref="L9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sur compte de dépôt 47,5
Ch DI: 37,32
TVA précompte : 2,7 milliards</t>
        </r>
      </text>
    </comment>
    <comment ref="O9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sur compte de dépôt 2,072
Ch DI: 59,13
TVA précompte :13,98 milliards (balance générale tréor)</t>
        </r>
      </text>
    </comment>
    <comment ref="R9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sur compte de depôt: 4,94
Cheques DI:72,01
TVA précompte: 30,99
Convention de dettes croissées avec SENELEC 39 milliards
autres imp et taxes sur comptes de depot: 20,13
53,4 mds de recettes d'ordres non identifiées mais il peut s'agirr d'OP non liquides etc</t>
        </r>
      </text>
    </comment>
    <comment ref="U9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payée sur compte de dépôt:
Cheque DI: 10,07
autres impôts et taxes sur comptes de dépôt: </t>
        </r>
      </text>
    </comment>
    <comment ref="X9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Cheque DI : 31,3
TVA sur compte de depot : 6,24
autres impots et taxes sur compte de depot: 59,80
TVA précomptes balance :9,3</t>
        </r>
      </text>
    </comment>
    <comment ref="AA9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Cheque DI: 41,5
TVA sur compte de depot: 9,23
autres impots et taxes sur comptes de depot: 78,68
TVA précompte balance: 15,1</t>
        </r>
      </text>
    </comment>
    <comment ref="AD9" authorId="1" shapeId="0" xr:uid="{00000000-0006-0000-0900-000016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DI : 41,47 mds
TVA précompté sur compte de depot : 14;037
autre impt et taxes sur compte de depot : 78,68
TVA prec bal prov 20,1</t>
        </r>
      </text>
    </comment>
    <comment ref="AG9" authorId="1" shapeId="0" xr:uid="{00000000-0006-0000-0900-000017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Ordre paiement DGID 8,3
cheque tresor comptab DGID
4,37</t>
        </r>
      </text>
    </comment>
    <comment ref="AJ9" authorId="1" shapeId="0" xr:uid="{00000000-0006-0000-0900-000018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impots et taxes payes par Etat Cheque DI</t>
        </r>
      </text>
    </comment>
    <comment ref="AM9" authorId="1" shapeId="0" xr:uid="{00000000-0006-0000-0900-000019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Cheque DI : 74,2
recettes d'ordre: DGID:105,15</t>
        </r>
      </text>
    </comment>
    <comment ref="AP9" authorId="1" shapeId="0" xr:uid="{00000000-0006-0000-0900-00001A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impot et taxes prêt projet: 84,7 mds
OP et cheque tresor : 148,29</t>
        </r>
      </text>
    </comment>
    <comment ref="AS9" authorId="1" shapeId="0" xr:uid="{00000000-0006-0000-0900-00001B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Imp prêt proj: 20,7
OP et chequ tre: 55,2</t>
        </r>
      </text>
    </comment>
    <comment ref="AV9" authorId="1" shapeId="0" xr:uid="{00000000-0006-0000-0900-00001C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OP et cheque tres: 105,7</t>
        </r>
      </text>
    </comment>
    <comment ref="I21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 10,7 milliards
TRIMF: 0,79 milliards
FNR : 27,48
rete avce tabaski:2,76 milliards
DMC:  1,28 milliards
FNR compl: 4,09 milliards</t>
        </r>
      </text>
    </comment>
    <comment ref="L21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CCAP:23,08 milliards
Trimf : 1,64 milliards
FNR :57,20 milliards
Rem ret tabaski: 3,68 milliards
remb prêt DMC:2,42 milliards
FNR compl: 8,31</t>
        </r>
      </text>
    </comment>
    <comment ref="O21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CCAP:35,95 milliards
Trimf : 2,52 milliards
FNR :87,26 milliards
Rem ret tabaski: 6,81 milliards
remb prêt DMC:3,45 milliards
FNR compl: 12,61</t>
        </r>
      </text>
    </comment>
    <comment ref="R21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CCAP:48,20
Trimf : 3,45
FNR :116,23
Rem ret tabaski: 11,47
remb prêt DMC:4,36
FNR compl: 16,97</t>
        </r>
      </text>
    </comment>
    <comment ref="U21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CCAP: 11,83
Trimf:0,84
FNR:30,17
Rem av tabaski: 4,64
Remb prêt DMC:0,90
FNR compl: 4,48</t>
        </r>
      </text>
    </comment>
    <comment ref="X21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IRCCAP: 23,6
FNR 71,58
DMC 1,88
ret av tabaski 7,74</t>
        </r>
      </text>
    </comment>
    <comment ref="AA21" authorId="0" shapeId="0" xr:uid="{00000000-0006-0000-0900-00002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IRCCAP 35,9
FNR 109,54
DMC 2,76
re av tabaski 10,97</t>
        </r>
      </text>
    </comment>
    <comment ref="AD21" authorId="1" shapeId="0" xr:uid="{00000000-0006-0000-0900-000024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CCAP: 48,93
FNR 147,5
DMC 3,5
ret tabaski 15,8</t>
        </r>
      </text>
    </comment>
    <comment ref="AG21" authorId="1" shapeId="0" xr:uid="{00000000-0006-0000-0900-000025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CCAP 10,99
FNR 39,077
DMC 0,933
Retenu tabaski 4,83</t>
        </r>
      </text>
    </comment>
    <comment ref="AJ21" authorId="1" shapeId="0" xr:uid="{00000000-0006-0000-0900-000026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FNR: 78,47 mds
DMC: 1,87 mds
Retenu tabaski 8,03 mds
CCAP:21,7 mds</t>
        </r>
      </text>
    </comment>
    <comment ref="AM21" authorId="1" shapeId="0" xr:uid="{00000000-0006-0000-0900-000027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CCAP: 33,85
Trimf: 2,14
hosp: 0,16
FNR: 104,7
DMC: 3,3
FNR comp: 13,5
retenu tabaski: 11,04</t>
        </r>
      </text>
    </comment>
    <comment ref="AS21" authorId="1" shapeId="0" xr:uid="{00000000-0006-0000-0900-000028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CCAP: 12,7
rete tabaski: 5,02</t>
        </r>
      </text>
    </comment>
    <comment ref="AV21" authorId="1" shapeId="0" xr:uid="{00000000-0006-0000-0900-000029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CCAP: 25,11
retenu tabas: 10,15</t>
        </r>
      </text>
    </comment>
    <comment ref="I22" authorId="0" shapeId="0" xr:uid="{00000000-0006-0000-0900-00002A000000}">
      <text>
        <r>
          <rPr>
            <b/>
            <sz val="9"/>
            <color indexed="81"/>
            <rFont val="Tahoma"/>
            <family val="2"/>
          </rPr>
          <t>IR salaires corps émergents: 0,59 milliards
TVA précompté: 1,15 milliards</t>
        </r>
      </text>
    </comment>
    <comment ref="L22" authorId="0" shapeId="0" xr:uid="{00000000-0006-0000-0900-00002B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salaires corps émergents: 1,19 milliard
TVA précompte : 2,7 milliards</t>
        </r>
      </text>
    </comment>
    <comment ref="O22" authorId="0" shapeId="0" xr:uid="{00000000-0006-0000-0900-00002C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salaires corps émergents: 1,51 milliard
TVA précompte : 13,98 milliards
convention de dette croisée avec la senenlec 69 milliards</t>
        </r>
      </text>
    </comment>
    <comment ref="R22" authorId="0" shapeId="0" xr:uid="{00000000-0006-0000-0900-00002D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salaires corps émergents: 
TVA précompte : 30,99
convention de dette croisée avec la senenlec 68,95 milliards</t>
        </r>
      </text>
    </comment>
    <comment ref="U22" authorId="0" shapeId="0" xr:uid="{00000000-0006-0000-0900-00002E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salaires corps émergents: 
TVA précompté :</t>
        </r>
      </text>
    </comment>
    <comment ref="X22" authorId="0" shapeId="0" xr:uid="{00000000-0006-0000-0900-00002F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précompte balance: 9,3</t>
        </r>
      </text>
    </comment>
    <comment ref="AA22" authorId="0" shapeId="0" xr:uid="{00000000-0006-0000-0900-000030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précompte balalce:15,1</t>
        </r>
      </text>
    </comment>
    <comment ref="AD22" authorId="1" shapeId="0" xr:uid="{00000000-0006-0000-0900-000031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TVA precompte 20,1</t>
        </r>
      </text>
    </comment>
    <comment ref="I25" authorId="0" shapeId="0" xr:uid="{00000000-0006-0000-0900-00003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précompte:21,7 milliards
IR compte de depot:5,6 milliards</t>
        </r>
      </text>
    </comment>
    <comment ref="O25" authorId="0" shapeId="0" xr:uid="{00000000-0006-0000-0900-00003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compte de dépôt: 16,3 milliards
TVA sur compte de dépôts: 2,07</t>
        </r>
      </text>
    </comment>
    <comment ref="R25" authorId="0" shapeId="0" xr:uid="{00000000-0006-0000-0900-000034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IR compte de dépôt: 17,49
TVA sur compte de dépôts: 4,94
autres impots et taxes sur comptes de dépôt: 20,13
le montant global de 42,6 milliards est le montant correspond des impots et taxes sous forme de chèque du trésor autre les cheques DI</t>
        </r>
      </text>
    </comment>
    <comment ref="U25" authorId="0" shapeId="0" xr:uid="{00000000-0006-0000-0900-000035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R compte de dépôt: 
TVA sur compte de dépôts: 
autres impots et taxes sur comptes de dépôt: 
</t>
        </r>
      </text>
    </comment>
    <comment ref="X25" authorId="0" shapeId="0" xr:uid="{00000000-0006-0000-0900-00003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compte de depot :6,24
IR compte depot : 12,59
autres impots et taxes sur compte de depot: 59,80</t>
        </r>
      </text>
    </comment>
    <comment ref="AA25" authorId="0" shapeId="0" xr:uid="{00000000-0006-0000-0900-00003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TVA compte de depot : 9,23
IR compte depot: 17,43
autres impots et taxes sur compte de depot:78,68</t>
        </r>
      </text>
    </comment>
    <comment ref="AD25" authorId="1" shapeId="0" xr:uid="{00000000-0006-0000-0900-000038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IR compte de depot 21,3
TVA compte de depot  14,03
autres impots et taxes sur comptes de depot 78,68</t>
        </r>
      </text>
    </comment>
    <comment ref="AJ25" authorId="1" shapeId="0" xr:uid="{00000000-0006-0000-0900-000039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impot sur compte de depot</t>
        </r>
      </text>
    </comment>
    <comment ref="AP25" authorId="1" shapeId="0" xr:uid="{00000000-0006-0000-0900-00003A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OP et cheque tresor situation DGID</t>
        </r>
      </text>
    </comment>
    <comment ref="AS25" authorId="1" shapeId="0" xr:uid="{00000000-0006-0000-0900-00003B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Im prêt proj: 20,7
OP cheq tres: 55,2</t>
        </r>
      </text>
    </comment>
    <comment ref="AV25" authorId="1" shapeId="0" xr:uid="{00000000-0006-0000-0900-00003C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chq ddi: 20,7
op et cheq tres: 107,5</t>
        </r>
      </text>
    </comment>
    <comment ref="I27" authorId="0" shapeId="0" xr:uid="{00000000-0006-0000-0900-00003D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Impots cheques DI: 17,2 milliards</t>
        </r>
      </text>
    </comment>
    <comment ref="L27" authorId="0" shapeId="0" xr:uid="{00000000-0006-0000-0900-00003E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Impot cheque DI: 37,3 milliards</t>
        </r>
      </text>
    </comment>
    <comment ref="O27" authorId="0" shapeId="0" xr:uid="{00000000-0006-0000-0900-00003F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Impot cheque DI: 59,13 milliards</t>
        </r>
      </text>
    </comment>
    <comment ref="R27" authorId="0" shapeId="0" xr:uid="{00000000-0006-0000-0900-000040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Impot cheque DI: 72,01</t>
        </r>
      </text>
    </comment>
    <comment ref="U27" authorId="0" shapeId="0" xr:uid="{00000000-0006-0000-0900-00004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Impot cheque DI: 10,07</t>
        </r>
      </text>
    </comment>
    <comment ref="X27" authorId="0" shapeId="0" xr:uid="{00000000-0006-0000-0900-00004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Cheque DI : 31,3</t>
        </r>
      </text>
    </comment>
    <comment ref="AA27" authorId="0" shapeId="0" xr:uid="{00000000-0006-0000-0900-00004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Cheque DI: 41,5</t>
        </r>
      </text>
    </comment>
    <comment ref="AD27" authorId="1" shapeId="0" xr:uid="{00000000-0006-0000-0900-000044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Ch DI: 41,47
</t>
        </r>
      </text>
    </comment>
    <comment ref="AG27" authorId="1" shapeId="0" xr:uid="{00000000-0006-0000-0900-000045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Ch DI 21,9</t>
        </r>
      </text>
    </comment>
    <comment ref="AJ27" authorId="1" shapeId="0" xr:uid="{00000000-0006-0000-0900-000046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CheqDI 74;2 mds</t>
        </r>
      </text>
    </comment>
    <comment ref="AM27" authorId="1" shapeId="0" xr:uid="{00000000-0006-0000-0900-000047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Chèque DI : 74,2</t>
        </r>
      </text>
    </comment>
    <comment ref="I44" authorId="0" shapeId="0" xr:uid="{00000000-0006-0000-0900-00004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44" authorId="1" shapeId="0" xr:uid="{00000000-0006-0000-0900-000049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DMC 0,933
Avce tabaski 4,83</t>
        </r>
      </text>
    </comment>
    <comment ref="AJ44" authorId="1" shapeId="0" xr:uid="{00000000-0006-0000-0900-00004A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DMC:1,87
retenu tabask-avance tabaskii: 8,03
</t>
        </r>
      </text>
    </comment>
    <comment ref="AM44" authorId="1" shapeId="0" xr:uid="{00000000-0006-0000-0900-00004B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hosp: 0,16
DMC: 3,3
retenu tabaski: 11,04</t>
        </r>
      </text>
    </comment>
    <comment ref="I47" authorId="0" shapeId="0" xr:uid="{00000000-0006-0000-0900-00004C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paiement de pensions ajusté du financement net siur le FNR</t>
        </r>
      </text>
    </comment>
    <comment ref="L47" authorId="0" shapeId="0" xr:uid="{00000000-0006-0000-0900-00004D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paiement de pension</t>
        </r>
      </text>
    </comment>
    <comment ref="O47" authorId="0" shapeId="0" xr:uid="{00000000-0006-0000-0900-00004E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paiement de pension: 75,8 milliards dans la SQT</t>
        </r>
      </text>
    </comment>
    <comment ref="R47" authorId="0" shapeId="0" xr:uid="{00000000-0006-0000-0900-00004F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paiement de pension: 99,1 milliards dans la SQT</t>
        </r>
      </text>
    </comment>
    <comment ref="U47" authorId="0" shapeId="0" xr:uid="{00000000-0006-0000-0900-000050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paiement des pensions dans la SQT : 21,8 </t>
        </r>
      </text>
    </comment>
    <comment ref="AG47" authorId="1" shapeId="0" xr:uid="{00000000-0006-0000-0900-000051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FNR 39,077
</t>
        </r>
      </text>
    </comment>
    <comment ref="AJ47" authorId="1" shapeId="0" xr:uid="{00000000-0006-0000-0900-000052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pensions payes: 78,47-13;25
</t>
        </r>
      </text>
    </comment>
    <comment ref="AM47" authorId="1" shapeId="0" xr:uid="{00000000-0006-0000-0900-000053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pensions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Bocar</author>
  </authors>
  <commentList>
    <comment ref="E11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Bocar:</t>
        </r>
        <r>
          <rPr>
            <sz val="9"/>
            <color indexed="81"/>
            <rFont val="Tahoma"/>
            <family val="2"/>
          </rPr>
          <t xml:space="preserve">
autres comptes à payer en 2021 + autres comptes à payer tofe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M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CFCE :33377739521</t>
        </r>
      </text>
    </comment>
    <comment ref="M19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TAXE TOURISTIQUE</t>
        </r>
      </text>
    </comment>
  </commentList>
</comments>
</file>

<file path=xl/sharedStrings.xml><?xml version="1.0" encoding="utf-8"?>
<sst xmlns="http://schemas.openxmlformats.org/spreadsheetml/2006/main" count="2254" uniqueCount="743">
  <si>
    <t>En milliards de F CFA</t>
  </si>
  <si>
    <t>MFB/DGCPT/DEES</t>
  </si>
  <si>
    <t>SENEGAL</t>
  </si>
  <si>
    <t>SITUATON DES OPÉRATIONS FINANCIERE DE  L'ADMINISTRATION CENTRALE BUDGETAIRE</t>
  </si>
  <si>
    <t>CUMUL A FIN DECEMBRE 2020</t>
  </si>
  <si>
    <t>TRANSACTIONS AFFECTANT LA VALEUR NETTE:</t>
  </si>
  <si>
    <t>A1</t>
  </si>
  <si>
    <t xml:space="preserve">Recettes </t>
  </si>
  <si>
    <t>A11</t>
  </si>
  <si>
    <t>Recettes fiscales</t>
  </si>
  <si>
    <t>A111</t>
  </si>
  <si>
    <t>Impôts sur le revenu, les bénéfices et les gains en capital</t>
  </si>
  <si>
    <t xml:space="preserve">          dont Impot sur les societes</t>
  </si>
  <si>
    <t xml:space="preserve">          dont Impot sur le revenu des personnes physiques</t>
  </si>
  <si>
    <t xml:space="preserve">                   .dont CCAP</t>
  </si>
  <si>
    <t>A112</t>
  </si>
  <si>
    <t>Impôts sur les salaires et la main-d'œuvre</t>
  </si>
  <si>
    <t>A113</t>
  </si>
  <si>
    <t>Impôts sur le patrimoine</t>
  </si>
  <si>
    <t>A114</t>
  </si>
  <si>
    <t>Impôts sur les biens et services</t>
  </si>
  <si>
    <t xml:space="preserve">     dont TVA interieure</t>
  </si>
  <si>
    <t xml:space="preserve">           .dont TVA interieure petrole</t>
  </si>
  <si>
    <t xml:space="preserve">     dont TVA a l`importation</t>
  </si>
  <si>
    <t xml:space="preserve">           .dont TVA a l`importation-Petrole</t>
  </si>
  <si>
    <t xml:space="preserve">      dont FSIPP</t>
  </si>
  <si>
    <t>A115</t>
  </si>
  <si>
    <t xml:space="preserve">Impôts sur le commerce extérieur et les transactions internationales </t>
  </si>
  <si>
    <t xml:space="preserve">     dont Droits de porte - Petrole</t>
  </si>
  <si>
    <t>A116</t>
  </si>
  <si>
    <t xml:space="preserve">Autres recettes fiscales </t>
  </si>
  <si>
    <t>A12</t>
  </si>
  <si>
    <t xml:space="preserve">Cotisations sociales </t>
  </si>
  <si>
    <t>A13</t>
  </si>
  <si>
    <t>Dons</t>
  </si>
  <si>
    <t xml:space="preserve">   Dons budgétaires</t>
  </si>
  <si>
    <t xml:space="preserve">   Dons en capital</t>
  </si>
  <si>
    <t>A14</t>
  </si>
  <si>
    <t xml:space="preserve">Autres recettes </t>
  </si>
  <si>
    <t xml:space="preserve">     dont Dividendes </t>
  </si>
  <si>
    <t xml:space="preserve">    licence Sonatel 4 G</t>
  </si>
  <si>
    <t xml:space="preserve">     dont recettes propres du FSE</t>
  </si>
  <si>
    <t xml:space="preserve">     dont autre recettes</t>
  </si>
  <si>
    <t>A2</t>
  </si>
  <si>
    <t>Charges</t>
  </si>
  <si>
    <t>A21</t>
  </si>
  <si>
    <t>Rémunération des salariés</t>
  </si>
  <si>
    <t>A22</t>
  </si>
  <si>
    <t>Utilisation des biens et services</t>
  </si>
  <si>
    <t xml:space="preserve">     don’t depenses sur ressources propres du FSE  </t>
  </si>
  <si>
    <t xml:space="preserve">     dont Depenses de telephone</t>
  </si>
  <si>
    <t>A23</t>
  </si>
  <si>
    <t>Consommation de capital fixe</t>
  </si>
  <si>
    <t>A24</t>
  </si>
  <si>
    <t>Intérêts</t>
  </si>
  <si>
    <t>Exterieur</t>
  </si>
  <si>
    <t>Interieur</t>
  </si>
  <si>
    <t>A25</t>
  </si>
  <si>
    <t>Subventions</t>
  </si>
  <si>
    <t>A26</t>
  </si>
  <si>
    <t xml:space="preserve">         Dons courants</t>
  </si>
  <si>
    <t xml:space="preserve">         Dons en capital</t>
  </si>
  <si>
    <t>A27</t>
  </si>
  <si>
    <t xml:space="preserve">Prestations sociales </t>
  </si>
  <si>
    <t>A28</t>
  </si>
  <si>
    <t>Autres charges</t>
  </si>
  <si>
    <t xml:space="preserve">     Autres charges courantes</t>
  </si>
  <si>
    <t xml:space="preserve">            dont bourses et allocations scolaires</t>
  </si>
  <si>
    <t xml:space="preserve">            dont impôts et taxes</t>
  </si>
  <si>
    <t xml:space="preserve">            dont frais d'actes et contentieux</t>
  </si>
  <si>
    <t xml:space="preserve">      Autres dépenses en capital</t>
  </si>
  <si>
    <t xml:space="preserve">            dont Autres transferts en capital</t>
  </si>
  <si>
    <r>
      <t xml:space="preserve">               </t>
    </r>
    <r>
      <rPr>
        <b/>
        <i/>
        <sz val="12"/>
        <rFont val="Arial"/>
        <family val="2"/>
      </rPr>
      <t>.</t>
    </r>
    <r>
      <rPr>
        <i/>
        <sz val="11"/>
        <rFont val="Arial"/>
        <family val="2"/>
      </rPr>
      <t xml:space="preserve">dont transferts en capital au secteur privé </t>
    </r>
  </si>
  <si>
    <t>GOB</t>
  </si>
  <si>
    <t>Solde brut de gestion  (1-2+23+NOBz)</t>
  </si>
  <si>
    <t>NOB</t>
  </si>
  <si>
    <r>
      <t>Solde net de gestion  (1-2+NOBz)</t>
    </r>
    <r>
      <rPr>
        <sz val="12"/>
        <rFont val="Arial"/>
        <family val="2"/>
      </rPr>
      <t xml:space="preserve"> </t>
    </r>
    <r>
      <rPr>
        <vertAlign val="superscript"/>
        <sz val="12"/>
        <rFont val="Arial"/>
        <family val="2"/>
      </rPr>
      <t>c/</t>
    </r>
  </si>
  <si>
    <t>TRANSACTIONS SUR ACTIFS NON FINANCIERS:</t>
  </si>
  <si>
    <t>A31</t>
  </si>
  <si>
    <t>Acquisition nette d'actifs non financiers</t>
  </si>
  <si>
    <t>A311</t>
  </si>
  <si>
    <t>Actifs fixes</t>
  </si>
  <si>
    <t xml:space="preserve">     dont Investissement financé/ressources internes et exécuté par l'Etat </t>
  </si>
  <si>
    <t xml:space="preserve">     dont Investissement des autres entités, financé sur dons-Etat</t>
  </si>
  <si>
    <t xml:space="preserve">     dont Investissement financé/ressources externes et exécuté en projet</t>
  </si>
  <si>
    <t>A312</t>
  </si>
  <si>
    <t>Variation des stocks</t>
  </si>
  <si>
    <t>A313</t>
  </si>
  <si>
    <t xml:space="preserve">Objets de valeur </t>
  </si>
  <si>
    <t>A314</t>
  </si>
  <si>
    <t xml:space="preserve">Actifs non produits </t>
  </si>
  <si>
    <t>NLB</t>
  </si>
  <si>
    <t>Capacité / besoin de financement  (1-2+NOBz-31)</t>
  </si>
  <si>
    <t>TRANSACTIONS SUR ACTIFS FINANCIERS ET PASSIFS (FINANCEMENT):</t>
  </si>
  <si>
    <t>A32</t>
  </si>
  <si>
    <r>
      <t>Acquisition nette d'actifs financiers</t>
    </r>
    <r>
      <rPr>
        <sz val="7"/>
        <rFont val="Arial"/>
        <family val="2"/>
      </rPr>
      <t/>
    </r>
  </si>
  <si>
    <t>A321</t>
  </si>
  <si>
    <t>Intérieurs</t>
  </si>
  <si>
    <t xml:space="preserve">     Numéraires et dépôts</t>
  </si>
  <si>
    <t xml:space="preserve">     Titres de créances</t>
  </si>
  <si>
    <t xml:space="preserve">     Crédits</t>
  </si>
  <si>
    <t xml:space="preserve">             dont rétrocession nette des remboursements</t>
  </si>
  <si>
    <t xml:space="preserve">                *dont couvertures de chèques de la Poste non remboursées</t>
  </si>
  <si>
    <t xml:space="preserve">     Actions et parts de fonds d'investissement</t>
  </si>
  <si>
    <t xml:space="preserve">        Systèmes d'assurances, de pension et de garantie standard</t>
  </si>
  <si>
    <t xml:space="preserve">        Produits financiers dérivés et options sur titres des salariés</t>
  </si>
  <si>
    <t xml:space="preserve">        Autres comptes à recevoir</t>
  </si>
  <si>
    <t>A322</t>
  </si>
  <si>
    <t>Extérieurs</t>
  </si>
  <si>
    <t>A323</t>
  </si>
  <si>
    <t>Or monétaire et DTS</t>
  </si>
  <si>
    <t>A33</t>
  </si>
  <si>
    <r>
      <t>Accumulation net de passifs</t>
    </r>
    <r>
      <rPr>
        <sz val="12"/>
        <rFont val="Arial"/>
        <family val="2"/>
      </rPr>
      <t xml:space="preserve"> </t>
    </r>
  </si>
  <si>
    <t>A331</t>
  </si>
  <si>
    <t xml:space="preserve">    Titres de créances</t>
  </si>
  <si>
    <t xml:space="preserve">                      dont Bons du Trésor -  en compte de dépôts</t>
  </si>
  <si>
    <t xml:space="preserve">                      dont Bons du Trésor  en adjudication</t>
  </si>
  <si>
    <t xml:space="preserve">                      dont Emprunts obligataire par APE</t>
  </si>
  <si>
    <t xml:space="preserve">                      dont Emprunts obligataire en adjudication</t>
  </si>
  <si>
    <t xml:space="preserve">                     dont Emprunts Sukkuk</t>
  </si>
  <si>
    <t xml:space="preserve">    Crédits</t>
  </si>
  <si>
    <t xml:space="preserve">                     dont autres emprunts</t>
  </si>
  <si>
    <t xml:space="preserve">                     dont BANQUE ATLANTIQUE</t>
  </si>
  <si>
    <t xml:space="preserve">                    dont Dépôt koweïtien</t>
  </si>
  <si>
    <t xml:space="preserve">                    dont FMI</t>
  </si>
  <si>
    <t xml:space="preserve">                   dont ressources Afriximbank</t>
  </si>
  <si>
    <t xml:space="preserve">    Autres comptes à payer</t>
  </si>
  <si>
    <t xml:space="preserve">                    dont Fonds en route</t>
  </si>
  <si>
    <t xml:space="preserve">                    dont comptes de dépôts</t>
  </si>
  <si>
    <t xml:space="preserve">                   dont fonds national des retraites</t>
  </si>
  <si>
    <t>A332</t>
  </si>
  <si>
    <t xml:space="preserve">   Numéraires et dépôts</t>
  </si>
  <si>
    <t xml:space="preserve">  Titres de créances</t>
  </si>
  <si>
    <t xml:space="preserve">                   Bons du Trésor par adjudication</t>
  </si>
  <si>
    <t xml:space="preserve">                   Obligations du Trésor par adjucation</t>
  </si>
  <si>
    <t xml:space="preserve">                   Obligations du Trésor par APE</t>
  </si>
  <si>
    <t xml:space="preserve">                   Eurobonds</t>
  </si>
  <si>
    <t xml:space="preserve">                   sukkuk</t>
  </si>
  <si>
    <t xml:space="preserve">  Crédits</t>
  </si>
  <si>
    <t xml:space="preserve">                 dont Tirages sur prêts programmes</t>
  </si>
  <si>
    <t xml:space="preserve">                 dont Prêts-projets</t>
  </si>
  <si>
    <t xml:space="preserve">                 dont Retrocession</t>
  </si>
  <si>
    <t xml:space="preserve">                 dont autres emprunts</t>
  </si>
  <si>
    <t xml:space="preserve">                 dont bilatéraux et multilatéraux et commerciaux</t>
  </si>
  <si>
    <t xml:space="preserve">                 dont Crédits bancaires</t>
  </si>
  <si>
    <t xml:space="preserve">                 dont Autres credits nets</t>
  </si>
  <si>
    <t>Autres comptes à payer</t>
  </si>
  <si>
    <t xml:space="preserve">Vérification verticale: Différence entre capacité/besoin de financement et financement (1-2-31=32-33-NLBz=0) </t>
  </si>
  <si>
    <t>a/  Consolidation (budgétaire, extrabudgétaire et caisses de sécurité sociale: colonnes 1, 2, 3).</t>
  </si>
  <si>
    <t>b/  Consolidation de l'administration centrale, des administrations d'Etats fédérés et des administrations locales (colonnes 5, 6, 7).</t>
  </si>
  <si>
    <t>c/  Le solde net de gestion ne doit être calculé que si la consommation de capital fixe est différente de zéro.  Autrement, seul le solde brut de gestion doit être calculé.</t>
  </si>
  <si>
    <t>fin mars 2020</t>
  </si>
  <si>
    <t>fin juin 2020</t>
  </si>
  <si>
    <t>fin sept 2020</t>
  </si>
  <si>
    <t>Fin dec 2020</t>
  </si>
  <si>
    <t>ENTREES DE TRESORERIE LIEES AUX ACTIVITES DE GESTION</t>
  </si>
  <si>
    <t>Impôts</t>
  </si>
  <si>
    <t>Impôts sur les salaires et la  main-d’œuvre</t>
  </si>
  <si>
    <t>Impôts sur le commerce extérieur et les transactions internes.</t>
  </si>
  <si>
    <t>Autres recettes fiscales</t>
  </si>
  <si>
    <t>Cotisations sociales</t>
  </si>
  <si>
    <t xml:space="preserve">Dons </t>
  </si>
  <si>
    <t>Autres encaissements de recettes</t>
  </si>
  <si>
    <t>Revenus de la propriété</t>
  </si>
  <si>
    <t>Ventes de biens et services</t>
  </si>
  <si>
    <t>Amendes, pénalités et confiscations</t>
  </si>
  <si>
    <t>Transferts non classés ailleurs</t>
  </si>
  <si>
    <t>Primes, droits et indemnités d’assurance autres que qu’assurance-vie et régimes de garantie standard</t>
  </si>
  <si>
    <t>SORTIE DE TRESORERIE LIEES AUX ACTIVITES DE GESTION</t>
  </si>
  <si>
    <t>Achats de biens et services</t>
  </si>
  <si>
    <t>Prestations sociales</t>
  </si>
  <si>
    <t>Autres décaissements de dépenses</t>
  </si>
  <si>
    <t xml:space="preserve">    Entrées nettes de trésorerie liées aux activités de gestion</t>
  </si>
  <si>
    <t>FLUX DE TRESORERIE LIES AUX INVESTISSEMENTS EN ACTIFS NON FINANCIERS</t>
  </si>
  <si>
    <t>ACHATS D'ACTIFS NON FINANCIERS</t>
  </si>
  <si>
    <t>Stocks</t>
  </si>
  <si>
    <t>Objets de valeur</t>
  </si>
  <si>
    <t>Actifs non produits</t>
  </si>
  <si>
    <t>VENTE D'ACTIFS NON FINANCIERS</t>
  </si>
  <si>
    <t xml:space="preserve">Stocks </t>
  </si>
  <si>
    <t xml:space="preserve">   Sorties nettes de trésorerie liées aux investissements en actifs non financiers</t>
  </si>
  <si>
    <t>EXCEDENT/DEFICIT (BASE CAISSE)</t>
  </si>
  <si>
    <t>FLUX DE TRESORERIE LIES AUX ACTIVITES DE FINANCEMENT</t>
  </si>
  <si>
    <t>ACQUISITION NETTE D'ACTIFS FINANCIERS AUTRES QUE LA TRESORERIE</t>
  </si>
  <si>
    <t>ACCROISSEMENT NET DE PASSIFS</t>
  </si>
  <si>
    <t>Entrées nettes de trésorerie liées aux activités de financement</t>
  </si>
  <si>
    <t>VARIATION NETTE DE TRESORERIE</t>
  </si>
  <si>
    <t xml:space="preserve">ETAT MEMBRE :  </t>
  </si>
  <si>
    <t xml:space="preserve">Sénégal </t>
  </si>
  <si>
    <t>FICHE 3.5 : DETTE PUBLIQUE - ENCOURS DE LA DETTE SELON LA MONNAIE, L'INSTRUMENT ET LE CREANCIER (en fin de période)</t>
  </si>
  <si>
    <t xml:space="preserve">                                                                                 </t>
  </si>
  <si>
    <t>(en milliards de FCFA)</t>
  </si>
  <si>
    <t xml:space="preserve"> </t>
  </si>
  <si>
    <t xml:space="preserve">                       </t>
  </si>
  <si>
    <t xml:space="preserve">SERIES TRIMESTRIELLES </t>
  </si>
  <si>
    <t>RETOUR A LA LISTE DES FICHES</t>
  </si>
  <si>
    <t>CODES_UEMOA</t>
  </si>
  <si>
    <t>CODES_TOFE</t>
  </si>
  <si>
    <t>INTITULE</t>
  </si>
  <si>
    <t>T1</t>
  </si>
  <si>
    <t>T2</t>
  </si>
  <si>
    <t>T3</t>
  </si>
  <si>
    <t>T4</t>
  </si>
  <si>
    <t xml:space="preserve">Selon la monnaie </t>
  </si>
  <si>
    <t>FP.35.01</t>
  </si>
  <si>
    <t>63B0</t>
  </si>
  <si>
    <t>Encours de la dette (=63C0=63D0)</t>
  </si>
  <si>
    <t>FP.35.01.01</t>
  </si>
  <si>
    <t>63B01</t>
  </si>
  <si>
    <t>En monnaie nationale</t>
  </si>
  <si>
    <t>968,9</t>
  </si>
  <si>
    <t>FP.35.01.02</t>
  </si>
  <si>
    <t>63B03</t>
  </si>
  <si>
    <t>En devises</t>
  </si>
  <si>
    <t>6084,1</t>
  </si>
  <si>
    <t>Selon l'instrument de la dette (=63B0=63D0)</t>
  </si>
  <si>
    <t>FP.35.02</t>
  </si>
  <si>
    <t>63C0</t>
  </si>
  <si>
    <t>Encours de la dette</t>
  </si>
  <si>
    <t>FP.35.02.01</t>
  </si>
  <si>
    <t>63C01</t>
  </si>
  <si>
    <t>Droits de tirages spéciaux (DTS)</t>
  </si>
  <si>
    <t>FP.35.02.02</t>
  </si>
  <si>
    <t>63C02</t>
  </si>
  <si>
    <t>Numéraire et dépôts</t>
  </si>
  <si>
    <t>FP.35.02.03</t>
  </si>
  <si>
    <t>63C03</t>
  </si>
  <si>
    <t>Titres de créance</t>
  </si>
  <si>
    <t>FP.35.02.03.01</t>
  </si>
  <si>
    <t>Bons du Trésor</t>
  </si>
  <si>
    <t>FP.35.02.03.02</t>
  </si>
  <si>
    <t>Emprunts obligataires</t>
  </si>
  <si>
    <t>FP.35.02.04</t>
  </si>
  <si>
    <t>63C04</t>
  </si>
  <si>
    <t>Crédits</t>
  </si>
  <si>
    <t>FP.35.02.04.01</t>
  </si>
  <si>
    <t xml:space="preserve">        dont    Dette extérieure</t>
  </si>
  <si>
    <t>FP.35.02.04.01.01</t>
  </si>
  <si>
    <t xml:space="preserve">                          Bilatérale</t>
  </si>
  <si>
    <t>FP.35.02.04.01.02</t>
  </si>
  <si>
    <t xml:space="preserve">                          Multilatérale</t>
  </si>
  <si>
    <t>63C06</t>
  </si>
  <si>
    <t>Systèmes d'assurances, de pensions et de garanties standard</t>
  </si>
  <si>
    <t>FP.35.02.05</t>
  </si>
  <si>
    <t>63C08</t>
  </si>
  <si>
    <t>FP.35.02.05.01</t>
  </si>
  <si>
    <t xml:space="preserve">       dont      Arriérés de salaires</t>
  </si>
  <si>
    <t>Selon le créancier (détenteur / secteur de la contrepartie)  (=63B0=63C0)</t>
  </si>
  <si>
    <t>FP.35.03</t>
  </si>
  <si>
    <t>63D0</t>
  </si>
  <si>
    <t>FP.35.03.01</t>
  </si>
  <si>
    <t>63D1</t>
  </si>
  <si>
    <t>FP.35.03.01.01</t>
  </si>
  <si>
    <t>63D11</t>
  </si>
  <si>
    <t>Administrations publiques</t>
  </si>
  <si>
    <t>FP.35.03.01.01.01</t>
  </si>
  <si>
    <t>dont     Dette envers les collectivités locales</t>
  </si>
  <si>
    <t>FP.35.03.01.01.02</t>
  </si>
  <si>
    <t xml:space="preserve">Caisse de sécurité sociale </t>
  </si>
  <si>
    <t>FP.35.03.01.01.03</t>
  </si>
  <si>
    <t xml:space="preserve">Etablissements Publics Nationaux </t>
  </si>
  <si>
    <t>FP.35.03.01.02</t>
  </si>
  <si>
    <t>63D12</t>
  </si>
  <si>
    <t>Banque Centrale</t>
  </si>
  <si>
    <t>FP.35.03.01.02.01</t>
  </si>
  <si>
    <t xml:space="preserve">  dont    Prêts FMI</t>
  </si>
  <si>
    <t>FP.35.03.01.03</t>
  </si>
  <si>
    <t>63D13</t>
  </si>
  <si>
    <t>Autres institutions de dépôts</t>
  </si>
  <si>
    <t>FP.35.03.01.03.01</t>
  </si>
  <si>
    <t>FP.35.03.01.03.02</t>
  </si>
  <si>
    <t xml:space="preserve">Emprunts bancaires </t>
  </si>
  <si>
    <t>FP.35.03.01.04</t>
  </si>
  <si>
    <t>63D14</t>
  </si>
  <si>
    <t>Sociétés financières non classées ailleurs</t>
  </si>
  <si>
    <t xml:space="preserve">         dont Fonds de pensions</t>
  </si>
  <si>
    <t>FP.35.03.01.05</t>
  </si>
  <si>
    <t>63D15</t>
  </si>
  <si>
    <t>Sociétés non financières</t>
  </si>
  <si>
    <t>FP.35.03.01.06</t>
  </si>
  <si>
    <t>63D16</t>
  </si>
  <si>
    <t>Ménages et ISBL</t>
  </si>
  <si>
    <t>FP.35.03.01.06.01</t>
  </si>
  <si>
    <t xml:space="preserve">   dont  Salaires titrisés impayés</t>
  </si>
  <si>
    <t>FP.35.03.02</t>
  </si>
  <si>
    <t>63D2</t>
  </si>
  <si>
    <t>FP.35.03.02.01</t>
  </si>
  <si>
    <t>63D21</t>
  </si>
  <si>
    <t>Administrations publiques (bilatéral)</t>
  </si>
  <si>
    <t>FP.35.03.02.02</t>
  </si>
  <si>
    <t>63D22</t>
  </si>
  <si>
    <t>Organisations internationales (multilatéral)</t>
  </si>
  <si>
    <t>FP.35.03.02.03</t>
  </si>
  <si>
    <t>63D23</t>
  </si>
  <si>
    <t>Sociétés financières autres qu'organisations internationales</t>
  </si>
  <si>
    <t>FP.35.03.02.03.01</t>
  </si>
  <si>
    <t>Bons de trésor</t>
  </si>
  <si>
    <t>FP.35.03.02.03.02</t>
  </si>
  <si>
    <t>FP.35.03.02.04</t>
  </si>
  <si>
    <t>63D24</t>
  </si>
  <si>
    <t>Autres non-résidents</t>
  </si>
  <si>
    <t>Postes pour mémoire</t>
  </si>
  <si>
    <t xml:space="preserve">                                                                                           </t>
  </si>
  <si>
    <t>FP.35.04</t>
  </si>
  <si>
    <t>6M1</t>
  </si>
  <si>
    <t xml:space="preserve">  Passifs conditionnels</t>
  </si>
  <si>
    <t>FP.35.04.01</t>
  </si>
  <si>
    <t xml:space="preserve">    dont   Garanties de l'Etat au reste de l'économie</t>
  </si>
  <si>
    <t>FP.35.05</t>
  </si>
  <si>
    <t>6M2</t>
  </si>
  <si>
    <t>Arriérés</t>
  </si>
  <si>
    <t>FP.35.05.01</t>
  </si>
  <si>
    <t>dont   Arriérés sur la dette intérieure et la dette liées à la monnaie nationale</t>
  </si>
  <si>
    <t>FP.35.05.02</t>
  </si>
  <si>
    <t xml:space="preserve">           Arriérés sur la dette extérieure et la dette liée aux devises </t>
  </si>
  <si>
    <t>FP.35.06</t>
  </si>
  <si>
    <t>6M3</t>
  </si>
  <si>
    <t>Autres</t>
  </si>
  <si>
    <t>FP.35.06.01</t>
  </si>
  <si>
    <t xml:space="preserve">   dont   Intérêts et amortissements arrivant à échéance dans un an</t>
  </si>
  <si>
    <t>BILAN FINANCIER</t>
  </si>
  <si>
    <t>ACTIFS FINANCIERS</t>
  </si>
  <si>
    <t xml:space="preserve">      Intérieurs</t>
  </si>
  <si>
    <t xml:space="preserve">         Numéraires et dépôts</t>
  </si>
  <si>
    <t xml:space="preserve">         Titres de créance</t>
  </si>
  <si>
    <t xml:space="preserve">         Crédits</t>
  </si>
  <si>
    <t xml:space="preserve">          Actions et parts de fonds d’investissement</t>
  </si>
  <si>
    <t xml:space="preserve">          Systèmes d’assurance, de pensions et de garanties standard</t>
  </si>
  <si>
    <t xml:space="preserve">          Produits financiers dérivés et options sur titres des salariés</t>
  </si>
  <si>
    <t xml:space="preserve">     Extérieurs</t>
  </si>
  <si>
    <t xml:space="preserve">        Numéraires et dépôts</t>
  </si>
  <si>
    <t xml:space="preserve">        Crédits</t>
  </si>
  <si>
    <t xml:space="preserve">       Autres comptes à recevoir</t>
  </si>
  <si>
    <t>PASSIFS</t>
  </si>
  <si>
    <t xml:space="preserve">     Intérieurs</t>
  </si>
  <si>
    <t xml:space="preserve">        Autres comptes à payer</t>
  </si>
  <si>
    <t xml:space="preserve">        Titres autres que les actions</t>
  </si>
  <si>
    <t xml:space="preserve">       Autres comptes à payer</t>
  </si>
  <si>
    <t>code</t>
  </si>
  <si>
    <t>code et libelle</t>
  </si>
  <si>
    <t>ACB 2019</t>
  </si>
  <si>
    <t>TOF SNP</t>
  </si>
  <si>
    <t>consol</t>
  </si>
  <si>
    <t>ACB 2019 ajust</t>
  </si>
  <si>
    <t>Ajust_ACB_EPA_COLLOC</t>
  </si>
  <si>
    <t>EPA</t>
  </si>
  <si>
    <t>COLLOC</t>
  </si>
  <si>
    <t xml:space="preserve"> AJUST</t>
  </si>
  <si>
    <t>COLLOC AJUST</t>
  </si>
  <si>
    <t>ABC-AJUST-COLLOC</t>
  </si>
  <si>
    <t>AJUST-R-EPA</t>
  </si>
  <si>
    <t>ABC-AJSUT-COLLOC-EPA</t>
  </si>
  <si>
    <t>CONSOL-AC</t>
  </si>
  <si>
    <t>TOF-AC</t>
  </si>
  <si>
    <t>IPRES</t>
  </si>
  <si>
    <t>CSS</t>
  </si>
  <si>
    <t>IPRES+CSS</t>
  </si>
  <si>
    <t>CONSOL APU</t>
  </si>
  <si>
    <t>TOF-APU</t>
  </si>
  <si>
    <t xml:space="preserve">1 RECETTES </t>
  </si>
  <si>
    <t xml:space="preserve">11 Recettes fiscales </t>
  </si>
  <si>
    <t xml:space="preserve">111 Impôts sur le revenu, les bénéfices et les gains en capital </t>
  </si>
  <si>
    <t xml:space="preserve">1111 A la charge des personnes physiques </t>
  </si>
  <si>
    <t xml:space="preserve">1112 A la charge des sociétés et autres entreprises </t>
  </si>
  <si>
    <t xml:space="preserve">1113 Non ventilables </t>
  </si>
  <si>
    <t xml:space="preserve">112 Impôts sur les salaires et la main-d'oeuvre </t>
  </si>
  <si>
    <t xml:space="preserve">113 Impôts sur le patrimoine </t>
  </si>
  <si>
    <t xml:space="preserve">1131 Impôts périodiques sur la propriété immobilière </t>
  </si>
  <si>
    <t xml:space="preserve">1132 Impôts périodiques sur le patrimoine net </t>
  </si>
  <si>
    <t xml:space="preserve">1133 Impôts sur les mutations par décès, les successions, les donations entre vifs et les legs </t>
  </si>
  <si>
    <t>1135 Prélèvements sur le capital</t>
  </si>
  <si>
    <t xml:space="preserve">1136 Autres impôts périodiques sur le patrimoine </t>
  </si>
  <si>
    <t xml:space="preserve">114 Impôts sur les biens et services </t>
  </si>
  <si>
    <t xml:space="preserve">1141 Impôts généraux sur les biens et services </t>
  </si>
  <si>
    <t xml:space="preserve">11411 Impôts sur la valeur ajoutée </t>
  </si>
  <si>
    <t xml:space="preserve">11412 Impôts sur la vente </t>
  </si>
  <si>
    <t xml:space="preserve">11413 Iimpôts sur le chiffre d'affaires et autres impôts généraux sur les biens et services </t>
  </si>
  <si>
    <t xml:space="preserve">11414 Impôts sur les transactions financières et en capital </t>
  </si>
  <si>
    <t xml:space="preserve">1142 Accises </t>
  </si>
  <si>
    <t xml:space="preserve">1143 Bénéfices des monopoles fiscaux </t>
  </si>
  <si>
    <t>1144 Taxes sur des services déterminés</t>
  </si>
  <si>
    <t xml:space="preserve">1145 Taxes sur l'utilisation ou la permission d'utiliser des biens ou d'exercer des activités </t>
  </si>
  <si>
    <t xml:space="preserve">11451 Taxes sur les véhicules à moteur </t>
  </si>
  <si>
    <t xml:space="preserve">11452 Autres </t>
  </si>
  <si>
    <t xml:space="preserve">1146 Autres impôts sur les biens et services </t>
  </si>
  <si>
    <t xml:space="preserve">115 Impôts sur le commerce extérieur et les transactions internationales </t>
  </si>
  <si>
    <t xml:space="preserve">1151 Droits de douane et autres droits à l'importation </t>
  </si>
  <si>
    <t>1152 Taxes à l'exportation</t>
  </si>
  <si>
    <t xml:space="preserve">1153 Bénéfices des monopoles d'exportation ou d'importation </t>
  </si>
  <si>
    <t>1154 Bénéfices de change</t>
  </si>
  <si>
    <t>1155 Taxes sur les opérations de change</t>
  </si>
  <si>
    <t xml:space="preserve">1156 Autres impôts sur le commerce extérieur et les transactions internationales </t>
  </si>
  <si>
    <t xml:space="preserve">116 Autres recettes fiscales </t>
  </si>
  <si>
    <t xml:space="preserve">12 Cotisations sociales </t>
  </si>
  <si>
    <t xml:space="preserve">121 Cotisations de sécurité sociale </t>
  </si>
  <si>
    <t>1211 A la charge des salariés</t>
  </si>
  <si>
    <t>1212 A la charge des employeurs</t>
  </si>
  <si>
    <t xml:space="preserve">1213 A la charge des travailleurs indépendants ou des personnes sans emploi </t>
  </si>
  <si>
    <t xml:space="preserve">1214 Non ventilables </t>
  </si>
  <si>
    <t xml:space="preserve">122 Autres cotisations sociales </t>
  </si>
  <si>
    <t xml:space="preserve">1221 A la chargé des salariés </t>
  </si>
  <si>
    <t>1222 A la charge des employeurs</t>
  </si>
  <si>
    <t xml:space="preserve">1223 Imputées </t>
  </si>
  <si>
    <t xml:space="preserve">13 Dons </t>
  </si>
  <si>
    <t xml:space="preserve">131 Reçus d'administrations publiques étrangères </t>
  </si>
  <si>
    <t xml:space="preserve">1311 Courants </t>
  </si>
  <si>
    <t xml:space="preserve">1312 En capital </t>
  </si>
  <si>
    <t xml:space="preserve">132 Reçus d'organisations internationales </t>
  </si>
  <si>
    <t xml:space="preserve">1321 Courants </t>
  </si>
  <si>
    <t xml:space="preserve">1322 En capital </t>
  </si>
  <si>
    <t xml:space="preserve">133 Reçus d'autres unités d'administration publique </t>
  </si>
  <si>
    <t xml:space="preserve">1331 Courants </t>
  </si>
  <si>
    <t xml:space="preserve">1332 En capital </t>
  </si>
  <si>
    <t xml:space="preserve">14 Autres recettes </t>
  </si>
  <si>
    <t xml:space="preserve">141 Revenu de la propriété </t>
  </si>
  <si>
    <t xml:space="preserve">1411 Intérêts </t>
  </si>
  <si>
    <t xml:space="preserve">14111 De non-résidents  </t>
  </si>
  <si>
    <t xml:space="preserve">14112 De résidents autres que les administrations publiques </t>
  </si>
  <si>
    <t xml:space="preserve">14113 D'autres unités d'administration publiques </t>
  </si>
  <si>
    <t xml:space="preserve">1412 Dividendes </t>
  </si>
  <si>
    <t xml:space="preserve">1413 Prélèvements sur les revenus des quasi-sociétés </t>
  </si>
  <si>
    <t xml:space="preserve">1414 Revenus de la propriété attribués aux assurés </t>
  </si>
  <si>
    <t xml:space="preserve">1415 Loyers </t>
  </si>
  <si>
    <t xml:space="preserve">1416 Bénéfices réinvestis des investissements directs étrangers </t>
  </si>
  <si>
    <t xml:space="preserve">142 Ventes de biens et services </t>
  </si>
  <si>
    <t xml:space="preserve">1421 Ventes des établissements marchands </t>
  </si>
  <si>
    <t xml:space="preserve">1422 Droits administratifs </t>
  </si>
  <si>
    <t xml:space="preserve">1423 Ventes résiduelles des établissements non marchands </t>
  </si>
  <si>
    <t xml:space="preserve">1424 Ventes imputées des biens et services </t>
  </si>
  <si>
    <t xml:space="preserve">143 Amendes, pénalités et confiscations </t>
  </si>
  <si>
    <t xml:space="preserve">144 Transferts non classés ailleurs </t>
  </si>
  <si>
    <t xml:space="preserve">1441 Courants </t>
  </si>
  <si>
    <t xml:space="preserve">14411 Subventions </t>
  </si>
  <si>
    <t xml:space="preserve">14412 Autres </t>
  </si>
  <si>
    <t xml:space="preserve">1442 En capital </t>
  </si>
  <si>
    <t xml:space="preserve">145 Primes, droits et indemnités d'assurance autre qu'assurance-vie et régimes de garantie standard </t>
  </si>
  <si>
    <t xml:space="preserve">1451 Primes,droits et indemnités courantes </t>
  </si>
  <si>
    <t xml:space="preserve">14511 Primes </t>
  </si>
  <si>
    <t xml:space="preserve">14512 Droits de régimes de garantie standard  </t>
  </si>
  <si>
    <t xml:space="preserve">14513 Indemnités courantes </t>
  </si>
  <si>
    <t xml:space="preserve">1452 Indemnités en capital </t>
  </si>
  <si>
    <t xml:space="preserve">2 CHARGES </t>
  </si>
  <si>
    <t xml:space="preserve">21 Rémunération des salariés </t>
  </si>
  <si>
    <t xml:space="preserve">211 Salaires et traitements </t>
  </si>
  <si>
    <t xml:space="preserve">212 Cotisations sociales </t>
  </si>
  <si>
    <t xml:space="preserve">2121 Cotisations sociales effectives </t>
  </si>
  <si>
    <t xml:space="preserve">2122 Cotisations sociales imputées </t>
  </si>
  <si>
    <t xml:space="preserve">22 Utilisation de biens et services </t>
  </si>
  <si>
    <t xml:space="preserve">23 Consommation de capital fixe </t>
  </si>
  <si>
    <t xml:space="preserve">24 Intérêts </t>
  </si>
  <si>
    <t xml:space="preserve">241 Aux non-résidents </t>
  </si>
  <si>
    <t xml:space="preserve">242 Aux résidents autre que les administrations publiques </t>
  </si>
  <si>
    <t>243 Aux autres unités d'administration publique</t>
  </si>
  <si>
    <t xml:space="preserve">25 Subventions </t>
  </si>
  <si>
    <t xml:space="preserve">251 Aux sociétés publiques </t>
  </si>
  <si>
    <t>252 Aux entreprises privées</t>
  </si>
  <si>
    <t>253 Aux autres secteurs</t>
  </si>
  <si>
    <t xml:space="preserve">26 Dons </t>
  </si>
  <si>
    <t xml:space="preserve">261 Aux administrations publiques étrangères </t>
  </si>
  <si>
    <t xml:space="preserve">2611 Courants </t>
  </si>
  <si>
    <t xml:space="preserve">2612 En capital </t>
  </si>
  <si>
    <t xml:space="preserve">262 Aux organisations internationales </t>
  </si>
  <si>
    <t xml:space="preserve">2621 Courants </t>
  </si>
  <si>
    <t xml:space="preserve">2622 En capital </t>
  </si>
  <si>
    <t xml:space="preserve">263 Aux autres unités des administrations publiques </t>
  </si>
  <si>
    <t xml:space="preserve">2631 Courants </t>
  </si>
  <si>
    <t xml:space="preserve">2632 En capital </t>
  </si>
  <si>
    <t xml:space="preserve">27 Prestations sociales </t>
  </si>
  <si>
    <t xml:space="preserve">271 Prestations de sécurité sociale </t>
  </si>
  <si>
    <t xml:space="preserve">272 Prestations d'assistance sociale </t>
  </si>
  <si>
    <t xml:space="preserve">273 Prestations sociales liées à l'emploi </t>
  </si>
  <si>
    <t xml:space="preserve">28 Autres charges </t>
  </si>
  <si>
    <t xml:space="preserve">281 Charges liées à la propriété autres que les intérêts </t>
  </si>
  <si>
    <t xml:space="preserve">2811 Dividendes </t>
  </si>
  <si>
    <t xml:space="preserve">2812 Prélèvements sur les revenus des quasi-sociétés </t>
  </si>
  <si>
    <t xml:space="preserve">2813 Charges liées à la propriété pour décaissement de revenu des investissements </t>
  </si>
  <si>
    <t xml:space="preserve">2814 Loyers </t>
  </si>
  <si>
    <t xml:space="preserve">2815 Bénéfices réinvestis des investissements directs étrangers </t>
  </si>
  <si>
    <t xml:space="preserve">282 Transferts non classés ailleurs </t>
  </si>
  <si>
    <t xml:space="preserve">2821 Courants </t>
  </si>
  <si>
    <t xml:space="preserve">2822 En capital </t>
  </si>
  <si>
    <t xml:space="preserve">283 Primes, droits et indemnités d'assurance autre qu'assurance-vie et régimes de garantie standard </t>
  </si>
  <si>
    <t xml:space="preserve">2831 Primes,droits et indemnités courantes </t>
  </si>
  <si>
    <t xml:space="preserve">28311 Primes </t>
  </si>
  <si>
    <t xml:space="preserve">28312 Droits de régimes de garantie standard  </t>
  </si>
  <si>
    <t xml:space="preserve">28313 Indemnités courantes </t>
  </si>
  <si>
    <t xml:space="preserve">2832 Indemnités en capital </t>
  </si>
  <si>
    <t>Solde</t>
  </si>
  <si>
    <t>Solde Net de Gestion</t>
  </si>
  <si>
    <t xml:space="preserve">3 TRANSACTIONS NETTES SUR ACTIFS ET PASSIFS </t>
  </si>
  <si>
    <t xml:space="preserve">31 Investissement brut/net dans les actifs non financiers </t>
  </si>
  <si>
    <t xml:space="preserve">311 Actifs fixes </t>
  </si>
  <si>
    <t xml:space="preserve">3111 Bâtiments et ouvrages de génie civil </t>
  </si>
  <si>
    <t xml:space="preserve">3112 Machines et équipement  </t>
  </si>
  <si>
    <t xml:space="preserve">3113 Autres actifs fixes </t>
  </si>
  <si>
    <t>3114 Systèmes d'armement</t>
  </si>
  <si>
    <t xml:space="preserve">312 Stocks </t>
  </si>
  <si>
    <t xml:space="preserve">313 Objets de valeur </t>
  </si>
  <si>
    <t xml:space="preserve">314 Actifs non produits </t>
  </si>
  <si>
    <t xml:space="preserve">3141 Terrains </t>
  </si>
  <si>
    <t xml:space="preserve">3142 Réserves minérales et énergétiques </t>
  </si>
  <si>
    <t xml:space="preserve">3143 Autres actifs naturels </t>
  </si>
  <si>
    <t xml:space="preserve">3144 Actifs incorporels non produits </t>
  </si>
  <si>
    <t>Solde Budgétaire</t>
  </si>
  <si>
    <t xml:space="preserve">32 Acquisition nette d'actifs financiers </t>
  </si>
  <si>
    <t>3201 Or monétaire et DTS   [3211+3221]</t>
  </si>
  <si>
    <t xml:space="preserve">3202 Numéraire et dépôts [3212+3222] </t>
  </si>
  <si>
    <t xml:space="preserve">3203 Titres de créance [3213+3223] </t>
  </si>
  <si>
    <t xml:space="preserve">3204 Crédits [3214+3224] </t>
  </si>
  <si>
    <t xml:space="preserve">3205 Actions et parts de fonds d'investissement [3215+3225] </t>
  </si>
  <si>
    <t xml:space="preserve">3206 Systèmes d'assurances, de pensions et de garanties standard  [3216+3226] </t>
  </si>
  <si>
    <t xml:space="preserve">3207 Produits financiers dérivés et options sur titres des salariés [3217+3227] </t>
  </si>
  <si>
    <t xml:space="preserve">3208 Autres comptes à recevoir [3218+3228] </t>
  </si>
  <si>
    <t xml:space="preserve">321 Débiteurs intérieurs </t>
  </si>
  <si>
    <t xml:space="preserve">3211 Or monétaire et DTS  </t>
  </si>
  <si>
    <t xml:space="preserve">3212 Numéraire et dépôts  </t>
  </si>
  <si>
    <t xml:space="preserve">3213 Titres de créance  </t>
  </si>
  <si>
    <t xml:space="preserve">3214 Crédits </t>
  </si>
  <si>
    <t xml:space="preserve">3215 Actions et parts de fonds d'investissement  </t>
  </si>
  <si>
    <t xml:space="preserve">3216 Systèmes d'assurances, de pensions et de garanties standard   </t>
  </si>
  <si>
    <t>3217 Produits financiers dérivés et options sur titres des salariés</t>
  </si>
  <si>
    <t xml:space="preserve">3218 Autres comptes à recevoir  </t>
  </si>
  <si>
    <t xml:space="preserve">322 Débiteurs extérieurs </t>
  </si>
  <si>
    <t xml:space="preserve">3221 Or monétaire et DTS  </t>
  </si>
  <si>
    <t xml:space="preserve">3222 Numéraire et dépôts  </t>
  </si>
  <si>
    <t xml:space="preserve">3223 Titres de créance  </t>
  </si>
  <si>
    <t xml:space="preserve">3224 Crédits </t>
  </si>
  <si>
    <t xml:space="preserve">3225 Actions et parts de fonds d'investissement  </t>
  </si>
  <si>
    <t xml:space="preserve">3226 Systèmes d'assurances, de pensions et de garanties standard   </t>
  </si>
  <si>
    <t>3227 Produits financiers dérivés et options sur titres des salariés</t>
  </si>
  <si>
    <t xml:space="preserve">3228 Autres comptes à recevoir  </t>
  </si>
  <si>
    <t xml:space="preserve">33 Accumulation nette de passifs </t>
  </si>
  <si>
    <t xml:space="preserve">3301 Droits de tirage spéciaux (DTS) [3321] </t>
  </si>
  <si>
    <t xml:space="preserve">3302 Numéraire et dépôts [3212+3222] </t>
  </si>
  <si>
    <t xml:space="preserve">3303 Titres de créance [3213+3223] </t>
  </si>
  <si>
    <t xml:space="preserve">3304 Crédits [3214+3224] </t>
  </si>
  <si>
    <t xml:space="preserve">3305 Actions et parts de fonds d'investissement [3215+3225] </t>
  </si>
  <si>
    <t xml:space="preserve">3306 Systèmes d'assurances, de pensions et de garanties standard  [3216+3226] </t>
  </si>
  <si>
    <t xml:space="preserve">33061 Réserves techniques d’assurance dommages </t>
  </si>
  <si>
    <t xml:space="preserve">33062 Droits sur les assurances vie et rentes </t>
  </si>
  <si>
    <t xml:space="preserve">33063 Droits à pension </t>
  </si>
  <si>
    <t xml:space="preserve">33064 Droits des fonds de pension sur les gérants des systèmes de pension </t>
  </si>
  <si>
    <t xml:space="preserve">33065 Provisions pour appels dans le cadre de garanties standard </t>
  </si>
  <si>
    <t xml:space="preserve">3307 Produits financiers dérivés et options sur titres des salariés [3217+3227] </t>
  </si>
  <si>
    <t xml:space="preserve">3308 Autres comptes à payer [3218+3228] </t>
  </si>
  <si>
    <t xml:space="preserve">331 Créanciers intérieurs </t>
  </si>
  <si>
    <t xml:space="preserve">3312 Numéraire et dépôts </t>
  </si>
  <si>
    <t xml:space="preserve">3313 Titres de créance  </t>
  </si>
  <si>
    <t xml:space="preserve">3314 Crédits </t>
  </si>
  <si>
    <t xml:space="preserve">3315 Actions et parts de fonds d'investissement </t>
  </si>
  <si>
    <t xml:space="preserve">3316 Systèmes d'assurances, de pensions et de garanties standard   </t>
  </si>
  <si>
    <t xml:space="preserve">3317 Produits financiers dérivés et options sur titres des salariés  </t>
  </si>
  <si>
    <t xml:space="preserve">3318 Autres comptes à payer  </t>
  </si>
  <si>
    <t xml:space="preserve">332 Créanciers extérieurs </t>
  </si>
  <si>
    <t>3321 Droits de tirage spéciaux (DTS)</t>
  </si>
  <si>
    <t xml:space="preserve">3322 Numéraire et dépôts </t>
  </si>
  <si>
    <t xml:space="preserve">3323 Titres de créance  </t>
  </si>
  <si>
    <t xml:space="preserve">3324 Crédits </t>
  </si>
  <si>
    <t xml:space="preserve">3325 Actions et parts de fonds d'investissement </t>
  </si>
  <si>
    <t xml:space="preserve">3326 Systèmes d'assurances, de pensions et de garanties standard   </t>
  </si>
  <si>
    <t xml:space="preserve">3327 Produits financiers dérivés et options sur titres des salariés  </t>
  </si>
  <si>
    <t xml:space="preserve">3328 Autres comptes à payer  </t>
  </si>
  <si>
    <t>fin mars 2021</t>
  </si>
  <si>
    <t>fin juin 2021</t>
  </si>
  <si>
    <t>TOFE a fin mars 2021</t>
  </si>
  <si>
    <t>TOFE a fin juin 2021</t>
  </si>
  <si>
    <t>TOFE fin mars 2021</t>
  </si>
  <si>
    <t>operation ordre</t>
  </si>
  <si>
    <t>TOFE fin juin 2021</t>
  </si>
  <si>
    <t>IMPUTATION</t>
  </si>
  <si>
    <t>LIBELLE DU COMPTE</t>
  </si>
  <si>
    <t xml:space="preserve">recette janvier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</si>
  <si>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</si>
  <si>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</si>
  <si>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</si>
  <si>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</si>
  <si>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</si>
  <si>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</si>
  <si>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</si>
  <si>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</si>
  <si>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</si>
  <si>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 xml:space="preserve">octobre </t>
  </si>
  <si>
    <t>novembre</t>
  </si>
  <si>
    <t>décembrer</t>
  </si>
  <si>
    <t>cumul</t>
  </si>
  <si>
    <t>401.12</t>
  </si>
  <si>
    <t>SOLDE - BONS DE CAISSE</t>
  </si>
  <si>
    <t>401.32</t>
  </si>
  <si>
    <t>BON DE PENSION</t>
  </si>
  <si>
    <t>402.12</t>
  </si>
  <si>
    <t>SOLDE - VIREMENTS</t>
  </si>
  <si>
    <t>402.13.01</t>
  </si>
  <si>
    <t>RETENUES POUR COMPTE IPRES</t>
  </si>
  <si>
    <t>402.13.02</t>
  </si>
  <si>
    <t>RETENUES POUR COMPTE CSS</t>
  </si>
  <si>
    <t>402.14.01</t>
  </si>
  <si>
    <t>RETENUE A LA SOURCE - IR</t>
  </si>
  <si>
    <t>402.14.02</t>
  </si>
  <si>
    <t>RETENUE A LA SOURCE - TRIMF</t>
  </si>
  <si>
    <t>402.14.04</t>
  </si>
  <si>
    <t>ORDRE DE RECETTE AT DEP</t>
  </si>
  <si>
    <t>402.14.05</t>
  </si>
  <si>
    <t>RETENUE LOGEMENT</t>
  </si>
  <si>
    <t>402.14.06</t>
  </si>
  <si>
    <t>RETENUE EAU                 *</t>
  </si>
  <si>
    <t>402.14.07</t>
  </si>
  <si>
    <t>RETENUE HOSPITALISATION     *</t>
  </si>
  <si>
    <t>402.14.08</t>
  </si>
  <si>
    <t>RETENUE CAPITAL D C S       *</t>
  </si>
  <si>
    <t>402.32</t>
  </si>
  <si>
    <t>FNR VIREMENT</t>
  </si>
  <si>
    <t>407.11</t>
  </si>
  <si>
    <t>PENSIONS ALIMENTAIRES       *</t>
  </si>
  <si>
    <t>407.13</t>
  </si>
  <si>
    <t>RETENUE PAIEMENT IMPOT PRIV*</t>
  </si>
  <si>
    <t>407.14</t>
  </si>
  <si>
    <t>RETENUE PAIEMENT SAISIE - AR*</t>
  </si>
  <si>
    <t>407.15</t>
  </si>
  <si>
    <t>RETENUE PAIEMENT CESSION ONE*</t>
  </si>
  <si>
    <t>407.500</t>
  </si>
  <si>
    <t>ASSURANCES                  *</t>
  </si>
  <si>
    <t>407.501</t>
  </si>
  <si>
    <t>MUTUELLES                   *</t>
  </si>
  <si>
    <t>407.502</t>
  </si>
  <si>
    <t>COTISATIONS SYNDICALES</t>
  </si>
  <si>
    <t>407.503</t>
  </si>
  <si>
    <t xml:space="preserve">COOPERATIVES                </t>
  </si>
  <si>
    <t>407.504</t>
  </si>
  <si>
    <t xml:space="preserve">RETENUES DIVERSES           </t>
  </si>
  <si>
    <t>407.506</t>
  </si>
  <si>
    <t xml:space="preserve">DELEGATION SOLDE - VIREMENT </t>
  </si>
  <si>
    <t>407.507</t>
  </si>
  <si>
    <t xml:space="preserve">RETENUES CERCLE ET MESS     </t>
  </si>
  <si>
    <t>407.508.01</t>
  </si>
  <si>
    <t>RETENUES IMPUTATION CPTES SP FNR</t>
  </si>
  <si>
    <t>407.508.02</t>
  </si>
  <si>
    <t>RETENUES IMPUTATION CPTES SP DMC</t>
  </si>
  <si>
    <t>407.508.03</t>
  </si>
  <si>
    <t>RETENUES IMPUTATION CPTES SP AUTRE</t>
  </si>
  <si>
    <t>407.508.04</t>
  </si>
  <si>
    <t>RETENUES IMPUTATION CPTES SP FNR COMP</t>
  </si>
  <si>
    <t>408.21</t>
  </si>
  <si>
    <t xml:space="preserve">RETENUE TABASKI             </t>
  </si>
  <si>
    <t>408.3</t>
  </si>
  <si>
    <t xml:space="preserve">RETENUE PELERINAGE           </t>
  </si>
  <si>
    <t>409.1</t>
  </si>
  <si>
    <t>REVERSEMENT</t>
  </si>
  <si>
    <t>PENSION D'INVALIDITE</t>
  </si>
  <si>
    <t>hospitalisation</t>
  </si>
  <si>
    <t>capital décès</t>
  </si>
  <si>
    <t>transport</t>
  </si>
  <si>
    <t>autres reversements</t>
  </si>
  <si>
    <t>90.02</t>
  </si>
  <si>
    <t>SOLDE</t>
  </si>
  <si>
    <t>SOLDE - BONS DE CAISSE (BULCI)</t>
  </si>
  <si>
    <t xml:space="preserve"> 402.12     </t>
  </si>
  <si>
    <t>SOLDE - VIREMENTS (BULCI)</t>
  </si>
  <si>
    <t xml:space="preserve"> 402.14.XX</t>
  </si>
  <si>
    <t>RETENUES DIVERSES-RGT (BULCI)</t>
  </si>
  <si>
    <t>AMBASSADES</t>
  </si>
  <si>
    <t>TOFE fin sept 2021</t>
  </si>
  <si>
    <t>fin sept 2021</t>
  </si>
  <si>
    <t>TOFE fin déc 2021</t>
  </si>
  <si>
    <t>fin déc 2021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</si>
  <si>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</si>
  <si>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</si>
  <si>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</si>
  <si>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</si>
  <si>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</si>
  <si>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</si>
  <si>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</si>
  <si>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</si>
  <si>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</si>
  <si>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</si>
  <si>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</si>
  <si>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</si>
  <si>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 xml:space="preserve">CUMUL </t>
  </si>
  <si>
    <t>Recettes et dons</t>
  </si>
  <si>
    <t xml:space="preserve">   dont CFCE rappatriée</t>
  </si>
  <si>
    <r>
      <t xml:space="preserve">  </t>
    </r>
    <r>
      <rPr>
        <i/>
        <sz val="12"/>
        <rFont val="Arial"/>
        <family val="2"/>
      </rPr>
      <t xml:space="preserve">   dont PROMAD</t>
    </r>
  </si>
  <si>
    <t xml:space="preserve">       dont FSIPP SAR</t>
  </si>
  <si>
    <t xml:space="preserve">                        </t>
  </si>
  <si>
    <t xml:space="preserve">                              </t>
  </si>
  <si>
    <t xml:space="preserve">                                                                </t>
  </si>
  <si>
    <t>TOFE fin mars 2022</t>
  </si>
  <si>
    <t>fin mars 2022</t>
  </si>
  <si>
    <t>TOFE fin juin 2022</t>
  </si>
  <si>
    <t>fin juin 2022</t>
  </si>
  <si>
    <t>TOFE fin sept 2022</t>
  </si>
  <si>
    <t>fin sept 2022</t>
  </si>
  <si>
    <t>PR_G_ERG_01</t>
  </si>
  <si>
    <t xml:space="preserve">       dont TUR rappatriée</t>
  </si>
  <si>
    <t xml:space="preserve">       dont FSIP SAR</t>
  </si>
  <si>
    <t xml:space="preserve">               dont CFCE</t>
  </si>
  <si>
    <t xml:space="preserve">             dont PROMAD</t>
  </si>
  <si>
    <t xml:space="preserve">             dont TUR</t>
  </si>
  <si>
    <t>Cession d'actifs</t>
  </si>
  <si>
    <t xml:space="preserve">µ HV </t>
  </si>
  <si>
    <t>Var %</t>
  </si>
  <si>
    <t>fin mars 21</t>
  </si>
  <si>
    <t>fin juin 21</t>
  </si>
  <si>
    <t>fin sept 21</t>
  </si>
  <si>
    <t>fin dec 21</t>
  </si>
  <si>
    <t>fin mars 22</t>
  </si>
  <si>
    <t>fin juin 22</t>
  </si>
  <si>
    <t>fin sept 22</t>
  </si>
  <si>
    <t>fin dec 22</t>
  </si>
  <si>
    <t>Var abs</t>
  </si>
  <si>
    <r>
      <t xml:space="preserve">  </t>
    </r>
    <r>
      <rPr>
        <i/>
        <sz val="10"/>
        <rFont val="Arial"/>
        <family val="2"/>
      </rPr>
      <t xml:space="preserve">   dont PROMAD</t>
    </r>
  </si>
  <si>
    <r>
      <t xml:space="preserve">               </t>
    </r>
    <r>
      <rPr>
        <b/>
        <i/>
        <sz val="10"/>
        <rFont val="Arial"/>
        <family val="2"/>
      </rPr>
      <t>.</t>
    </r>
    <r>
      <rPr>
        <i/>
        <sz val="10"/>
        <rFont val="Arial"/>
        <family val="2"/>
      </rPr>
      <t xml:space="preserve">dont transferts en capital au secteur privé </t>
    </r>
  </si>
  <si>
    <r>
      <t>Solde net de gestion  (1-2+NOBz)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c/</t>
    </r>
  </si>
  <si>
    <r>
      <t>Accumulation net de passifs</t>
    </r>
    <r>
      <rPr>
        <sz val="10"/>
        <rFont val="Arial"/>
        <family val="2"/>
      </rPr>
      <t xml:space="preserve"> </t>
    </r>
  </si>
  <si>
    <t>TOFE fin dec 2022</t>
  </si>
  <si>
    <t>TOFE fin mars 2023</t>
  </si>
  <si>
    <t>fin mars 2023</t>
  </si>
  <si>
    <t>prov.</t>
  </si>
  <si>
    <t>TOFE fin juin 2023</t>
  </si>
  <si>
    <t>CUMUL a fin mars</t>
  </si>
  <si>
    <t>CUMUL a fin juin</t>
  </si>
  <si>
    <t>TFT fin juin 2023</t>
  </si>
  <si>
    <t>fin  juin 2023</t>
  </si>
  <si>
    <t>fin septembre 2023</t>
  </si>
  <si>
    <t>TOFE fin sept 2023</t>
  </si>
  <si>
    <t>TFT fin sept 2023</t>
  </si>
  <si>
    <t>2023 (prov)</t>
  </si>
  <si>
    <t>fin dec 2023</t>
  </si>
  <si>
    <t xml:space="preserve">                      dont Bons du Trésor -  en compte de dépôts/formules</t>
  </si>
  <si>
    <t>fin dec 23</t>
  </si>
  <si>
    <t>fin sept 23</t>
  </si>
  <si>
    <t>fin juin 23</t>
  </si>
  <si>
    <t>fin mars 23</t>
  </si>
  <si>
    <t>fin mars 24</t>
  </si>
  <si>
    <t>fin juin 24</t>
  </si>
  <si>
    <t>TOFE fin mars 2024</t>
  </si>
  <si>
    <t>TOFE fin juin 2024</t>
  </si>
  <si>
    <t>TFT fin mars 2024</t>
  </si>
  <si>
    <t>TFT fin juin 2024</t>
  </si>
  <si>
    <t>SITUATION DES FLUX DE TRESORERIE 2018-2024</t>
  </si>
  <si>
    <t>TFT fin déc 2023</t>
  </si>
  <si>
    <t>TFT fin dec 2022</t>
  </si>
  <si>
    <t>TFT fin mars 2023</t>
  </si>
  <si>
    <t xml:space="preserve">     dont depenses sur ressources propres du FSE  </t>
  </si>
  <si>
    <t xml:space="preserve">            dont transferts en capital au secteur privé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</si>
</sst>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_-;\-* #,##0.00_-;_-* &quot;-&quot;??_-;_-@_-"/>
    <numFmt numFmtId="165" formatCode="_-* #,##0\ _C_F_A_-;\-* #,##0\ _C_F_A_-;_-* &quot;-&quot;\ _C_F_A_-;_-@_-"/>
    <numFmt numFmtId="166" formatCode="_-* #,##0\ _€_-;\-* #,##0\ _€_-;_-* &quot;-&quot;\ _€_-;_-@_-"/>
    <numFmt numFmtId="167" formatCode="_-* #,##0.00\ _€_-;\-* #,##0.00\ _€_-;_-* &quot;-&quot;??\ _€_-;_-@_-"/>
    <numFmt numFmtId="168" formatCode="#,##0.0"/>
    <numFmt numFmtId="169" formatCode="#,##0.000"/>
    <numFmt numFmtId="170" formatCode="_(* #,##0.00_);_(* \(#,##0.00\);_(* &quot;-&quot;??_);_(@_)"/>
    <numFmt numFmtId="171" formatCode="0.0"/>
    <numFmt numFmtId="172" formatCode="_-* #,##0_-;\-* #,##0_-;_-* &quot;-&quot;??_-;_-@_-"/>
    <numFmt numFmtId="173" formatCode="_-* #,##0\ _€_-;\-* #,##0\ _€_-;_-* &quot;-&quot;??\ _€_-;_-@_-"/>
    <numFmt numFmtId="174" formatCode="_-* #,##0.0\ _€_-;\-* #,##0.0\ _€_-;_-* &quot;-&quot;?\ _€_-;_-@_-"/>
    <numFmt numFmtId="175" formatCode="_-* #,##0.0\ _€_-;\-* #,##0.0\ _€_-;_-* &quot;-&quot;??\ _€_-;_-@_-"/>
    <numFmt numFmtId="176" formatCode="_(* #,##0_);_(* \(#,##0\);_(* &quot;-&quot;??_);_(@_)"/>
    <numFmt numFmtId="177" formatCode="_-* #,##0\ _F_-;\-* #,##0\ _F_-;_-* &quot;-&quot;??\ _F_-;_-@_-"/>
    <numFmt numFmtId="178" formatCode="_-* #,##0.00\ _F_-;\-* #,##0.00\ _F_-;_-* &quot;-&quot;??\ _F_-;_-@_-"/>
    <numFmt numFmtId="179" formatCode="_(* #,##0.0_);_(* \(#,##0.0\);_(* &quot;-&quot;??_);_(@_)"/>
    <numFmt numFmtId="180" formatCode="0.0000000000000"/>
    <numFmt numFmtId="181" formatCode="_(* #,##0.000_);_(* \(#,##0.000\);_(* &quot;-&quot;??_);_(@_)"/>
    <numFmt numFmtId="182" formatCode="0.0%"/>
    <numFmt numFmtId="183" formatCode="_-* #,##0.00\ _C_F_A_-;\-* #,##0.00\ _C_F_A_-;_-* &quot;-&quot;\ _C_F_A_-;_-@_-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vertAlign val="superscript"/>
      <sz val="12"/>
      <name val="Arial"/>
      <family val="2"/>
    </font>
    <font>
      <sz val="7"/>
      <name val="Arial"/>
      <family val="2"/>
    </font>
    <font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sz val="11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2"/>
      <color theme="1"/>
      <name val="Arial"/>
      <family val="2"/>
    </font>
    <font>
      <b/>
      <sz val="12"/>
      <color theme="1"/>
      <name val="Tahoma"/>
      <family val="2"/>
    </font>
    <font>
      <sz val="8"/>
      <color indexed="8"/>
      <name val="Arial Narrow"/>
      <family val="2"/>
    </font>
    <font>
      <sz val="12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8"/>
      <name val="Arial"/>
      <family val="2"/>
    </font>
    <font>
      <sz val="7.5"/>
      <color indexed="12"/>
      <name val="Arial"/>
      <family val="2"/>
    </font>
    <font>
      <vertAlign val="superscript"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dashed">
        <color indexed="8"/>
      </right>
      <top style="medium">
        <color indexed="8"/>
      </top>
      <bottom/>
      <diagonal/>
    </border>
    <border>
      <left style="dashed">
        <color indexed="8"/>
      </left>
      <right style="dashed">
        <color indexed="8"/>
      </right>
      <top style="medium">
        <color indexed="8"/>
      </top>
      <bottom/>
      <diagonal/>
    </border>
    <border>
      <left style="dashed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dashed">
        <color indexed="8"/>
      </right>
      <top/>
      <bottom style="medium">
        <color indexed="8"/>
      </bottom>
      <diagonal/>
    </border>
    <border>
      <left style="dashed">
        <color indexed="8"/>
      </left>
      <right style="dashed">
        <color indexed="8"/>
      </right>
      <top/>
      <bottom style="medium">
        <color indexed="8"/>
      </bottom>
      <diagonal/>
    </border>
    <border>
      <left style="dashed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170" fontId="3" fillId="0" borderId="0" applyFont="0" applyFill="0" applyBorder="0" applyAlignment="0" applyProtection="0"/>
    <xf numFmtId="0" fontId="3" fillId="0" borderId="0"/>
    <xf numFmtId="0" fontId="2" fillId="0" borderId="0"/>
    <xf numFmtId="0" fontId="36" fillId="0" borderId="0" applyNumberFormat="0" applyFill="0" applyBorder="0" applyAlignment="0" applyProtection="0"/>
    <xf numFmtId="0" fontId="2" fillId="0" borderId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48" fillId="0" borderId="0"/>
    <xf numFmtId="0" fontId="49" fillId="0" borderId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2">
    <xf numFmtId="0" fontId="0" fillId="0" borderId="0" xfId="0"/>
    <xf numFmtId="0" fontId="4" fillId="0" borderId="1" xfId="0" applyFont="1" applyBorder="1"/>
    <xf numFmtId="0" fontId="3" fillId="0" borderId="1" xfId="0" applyFont="1" applyBorder="1"/>
    <xf numFmtId="0" fontId="0" fillId="0" borderId="1" xfId="0" applyBorder="1"/>
    <xf numFmtId="168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17" fontId="6" fillId="2" borderId="1" xfId="0" quotePrefix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6" fillId="4" borderId="1" xfId="2" applyFont="1" applyFill="1" applyBorder="1" applyAlignment="1">
      <alignment horizontal="left"/>
    </xf>
    <xf numFmtId="4" fontId="0" fillId="0" borderId="0" xfId="0" applyNumberFormat="1"/>
    <xf numFmtId="0" fontId="6" fillId="5" borderId="1" xfId="2" applyFont="1" applyFill="1" applyBorder="1"/>
    <xf numFmtId="4" fontId="9" fillId="3" borderId="1" xfId="0" applyNumberFormat="1" applyFont="1" applyFill="1" applyBorder="1" applyProtection="1">
      <protection locked="0"/>
    </xf>
    <xf numFmtId="0" fontId="4" fillId="0" borderId="0" xfId="0" applyFont="1"/>
    <xf numFmtId="0" fontId="8" fillId="3" borderId="1" xfId="0" applyFont="1" applyFill="1" applyBorder="1" applyAlignment="1">
      <alignment horizontal="left"/>
    </xf>
    <xf numFmtId="0" fontId="8" fillId="5" borderId="1" xfId="2" applyFont="1" applyFill="1" applyBorder="1" applyAlignment="1">
      <alignment horizontal="left" indent="1"/>
    </xf>
    <xf numFmtId="4" fontId="10" fillId="3" borderId="1" xfId="0" applyNumberFormat="1" applyFont="1" applyFill="1" applyBorder="1" applyProtection="1">
      <protection locked="0"/>
    </xf>
    <xf numFmtId="4" fontId="11" fillId="3" borderId="1" xfId="0" applyNumberFormat="1" applyFont="1" applyFill="1" applyBorder="1" applyProtection="1">
      <protection locked="0"/>
    </xf>
    <xf numFmtId="0" fontId="12" fillId="3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 indent="2"/>
    </xf>
    <xf numFmtId="4" fontId="13" fillId="3" borderId="1" xfId="0" applyNumberFormat="1" applyFont="1" applyFill="1" applyBorder="1" applyProtection="1">
      <protection locked="0"/>
    </xf>
    <xf numFmtId="0" fontId="14" fillId="0" borderId="0" xfId="0" applyFont="1"/>
    <xf numFmtId="0" fontId="10" fillId="3" borderId="1" xfId="0" applyFont="1" applyFill="1" applyBorder="1" applyAlignment="1">
      <alignment horizontal="left"/>
    </xf>
    <xf numFmtId="0" fontId="15" fillId="5" borderId="1" xfId="2" applyFont="1" applyFill="1" applyBorder="1" applyAlignment="1">
      <alignment horizontal="left" indent="1"/>
    </xf>
    <xf numFmtId="4" fontId="15" fillId="3" borderId="1" xfId="0" applyNumberFormat="1" applyFont="1" applyFill="1" applyBorder="1" applyProtection="1">
      <protection locked="0"/>
    </xf>
    <xf numFmtId="0" fontId="10" fillId="0" borderId="0" xfId="0" applyFont="1"/>
    <xf numFmtId="0" fontId="15" fillId="3" borderId="1" xfId="0" applyFont="1" applyFill="1" applyBorder="1" applyAlignment="1">
      <alignment horizontal="left"/>
    </xf>
    <xf numFmtId="0" fontId="15" fillId="5" borderId="1" xfId="0" applyFont="1" applyFill="1" applyBorder="1" applyAlignment="1">
      <alignment horizontal="left" indent="2"/>
    </xf>
    <xf numFmtId="0" fontId="15" fillId="0" borderId="0" xfId="0" applyFont="1"/>
    <xf numFmtId="0" fontId="16" fillId="3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 indent="2"/>
    </xf>
    <xf numFmtId="0" fontId="16" fillId="0" borderId="0" xfId="0" applyFont="1"/>
    <xf numFmtId="0" fontId="15" fillId="5" borderId="1" xfId="0" quotePrefix="1" applyFont="1" applyFill="1" applyBorder="1" applyAlignment="1">
      <alignment horizontal="left" indent="2"/>
    </xf>
    <xf numFmtId="0" fontId="12" fillId="5" borderId="1" xfId="0" applyFont="1" applyFill="1" applyBorder="1" applyAlignment="1">
      <alignment horizontal="left" wrapText="1" indent="2"/>
    </xf>
    <xf numFmtId="0" fontId="8" fillId="5" borderId="1" xfId="0" applyFont="1" applyFill="1" applyBorder="1" applyAlignment="1">
      <alignment horizontal="left" indent="2"/>
    </xf>
    <xf numFmtId="0" fontId="12" fillId="5" borderId="1" xfId="2" applyFont="1" applyFill="1" applyBorder="1" applyAlignment="1">
      <alignment horizontal="left" indent="1"/>
    </xf>
    <xf numFmtId="169" fontId="15" fillId="3" borderId="1" xfId="0" applyNumberFormat="1" applyFont="1" applyFill="1" applyBorder="1" applyProtection="1">
      <protection locked="0"/>
    </xf>
    <xf numFmtId="0" fontId="0" fillId="6" borderId="0" xfId="0" applyFill="1"/>
    <xf numFmtId="0" fontId="15" fillId="5" borderId="1" xfId="2" applyFont="1" applyFill="1" applyBorder="1" applyAlignment="1">
      <alignment horizontal="left" indent="3"/>
    </xf>
    <xf numFmtId="0" fontId="15" fillId="6" borderId="0" xfId="0" applyFont="1" applyFill="1"/>
    <xf numFmtId="0" fontId="17" fillId="0" borderId="0" xfId="0" applyFont="1"/>
    <xf numFmtId="0" fontId="12" fillId="5" borderId="1" xfId="2" applyFont="1" applyFill="1" applyBorder="1"/>
    <xf numFmtId="4" fontId="10" fillId="4" borderId="1" xfId="0" applyNumberFormat="1" applyFont="1" applyFill="1" applyBorder="1" applyProtection="1">
      <protection locked="0"/>
    </xf>
    <xf numFmtId="170" fontId="15" fillId="3" borderId="1" xfId="1" applyFont="1" applyFill="1" applyBorder="1" applyProtection="1">
      <protection locked="0"/>
    </xf>
    <xf numFmtId="0" fontId="15" fillId="5" borderId="1" xfId="2" applyFont="1" applyFill="1" applyBorder="1" applyAlignment="1">
      <alignment horizontal="left" vertical="top" indent="1"/>
    </xf>
    <xf numFmtId="0" fontId="12" fillId="7" borderId="1" xfId="2" applyFont="1" applyFill="1" applyBorder="1"/>
    <xf numFmtId="4" fontId="9" fillId="7" borderId="1" xfId="0" applyNumberFormat="1" applyFont="1" applyFill="1" applyBorder="1" applyProtection="1">
      <protection locked="0"/>
    </xf>
    <xf numFmtId="0" fontId="4" fillId="6" borderId="0" xfId="0" applyFont="1" applyFill="1"/>
    <xf numFmtId="0" fontId="6" fillId="3" borderId="1" xfId="0" applyFont="1" applyFill="1" applyBorder="1" applyAlignment="1">
      <alignment vertical="top" wrapText="1"/>
    </xf>
    <xf numFmtId="0" fontId="6" fillId="4" borderId="2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0" fontId="13" fillId="5" borderId="1" xfId="2" applyFont="1" applyFill="1" applyBorder="1" applyAlignment="1">
      <alignment horizontal="left" indent="1"/>
    </xf>
    <xf numFmtId="0" fontId="13" fillId="5" borderId="1" xfId="0" applyFont="1" applyFill="1" applyBorder="1"/>
    <xf numFmtId="0" fontId="15" fillId="5" borderId="1" xfId="0" applyFont="1" applyFill="1" applyBorder="1"/>
    <xf numFmtId="0" fontId="20" fillId="3" borderId="1" xfId="0" applyFont="1" applyFill="1" applyBorder="1" applyAlignment="1">
      <alignment horizontal="left"/>
    </xf>
    <xf numFmtId="0" fontId="15" fillId="8" borderId="1" xfId="2" applyFont="1" applyFill="1" applyBorder="1" applyAlignment="1">
      <alignment horizontal="left" indent="1"/>
    </xf>
    <xf numFmtId="4" fontId="15" fillId="8" borderId="1" xfId="0" applyNumberFormat="1" applyFont="1" applyFill="1" applyBorder="1" applyProtection="1">
      <protection locked="0"/>
    </xf>
    <xf numFmtId="4" fontId="15" fillId="3" borderId="1" xfId="0" applyNumberFormat="1" applyFont="1" applyFill="1" applyBorder="1"/>
    <xf numFmtId="0" fontId="21" fillId="3" borderId="1" xfId="0" applyFont="1" applyFill="1" applyBorder="1" applyAlignment="1">
      <alignment horizontal="left"/>
    </xf>
    <xf numFmtId="0" fontId="22" fillId="0" borderId="0" xfId="0" applyFont="1"/>
    <xf numFmtId="0" fontId="14" fillId="6" borderId="0" xfId="0" applyFont="1" applyFill="1"/>
    <xf numFmtId="0" fontId="20" fillId="5" borderId="1" xfId="2" applyFont="1" applyFill="1" applyBorder="1" applyAlignment="1">
      <alignment horizontal="left" indent="1"/>
    </xf>
    <xf numFmtId="0" fontId="23" fillId="3" borderId="1" xfId="0" applyFont="1" applyFill="1" applyBorder="1" applyAlignment="1">
      <alignment horizontal="left"/>
    </xf>
    <xf numFmtId="0" fontId="23" fillId="0" borderId="0" xfId="0" applyFont="1"/>
    <xf numFmtId="0" fontId="19" fillId="0" borderId="0" xfId="2" applyFont="1" applyAlignment="1" applyProtection="1">
      <alignment horizontal="left"/>
      <protection locked="0"/>
    </xf>
    <xf numFmtId="0" fontId="19" fillId="0" borderId="0" xfId="2" applyFont="1" applyProtection="1">
      <protection locked="0"/>
    </xf>
    <xf numFmtId="0" fontId="5" fillId="0" borderId="0" xfId="2" applyFont="1" applyProtection="1">
      <protection locked="0"/>
    </xf>
    <xf numFmtId="0" fontId="24" fillId="0" borderId="0" xfId="3" applyFont="1"/>
    <xf numFmtId="0" fontId="25" fillId="0" borderId="0" xfId="3" applyFont="1"/>
    <xf numFmtId="171" fontId="25" fillId="0" borderId="0" xfId="3" applyNumberFormat="1" applyFont="1"/>
    <xf numFmtId="0" fontId="26" fillId="0" borderId="1" xfId="3" applyFont="1" applyBorder="1" applyAlignment="1">
      <alignment horizontal="center" vertical="center" wrapText="1"/>
    </xf>
    <xf numFmtId="17" fontId="26" fillId="9" borderId="1" xfId="3" applyNumberFormat="1" applyFont="1" applyFill="1" applyBorder="1" applyAlignment="1">
      <alignment horizontal="center" vertical="center" wrapText="1"/>
    </xf>
    <xf numFmtId="17" fontId="26" fillId="9" borderId="1" xfId="3" quotePrefix="1" applyNumberFormat="1" applyFont="1" applyFill="1" applyBorder="1" applyAlignment="1">
      <alignment horizontal="center" vertical="center" wrapText="1"/>
    </xf>
    <xf numFmtId="0" fontId="26" fillId="10" borderId="1" xfId="3" applyFont="1" applyFill="1" applyBorder="1"/>
    <xf numFmtId="171" fontId="26" fillId="10" borderId="1" xfId="3" applyNumberFormat="1" applyFont="1" applyFill="1" applyBorder="1" applyAlignment="1">
      <alignment horizontal="right" indent="1"/>
    </xf>
    <xf numFmtId="0" fontId="27" fillId="11" borderId="1" xfId="3" applyFont="1" applyFill="1" applyBorder="1"/>
    <xf numFmtId="171" fontId="26" fillId="11" borderId="1" xfId="3" applyNumberFormat="1" applyFont="1" applyFill="1" applyBorder="1" applyAlignment="1">
      <alignment horizontal="right" indent="1"/>
    </xf>
    <xf numFmtId="0" fontId="28" fillId="0" borderId="1" xfId="3" applyFont="1" applyBorder="1" applyAlignment="1">
      <alignment horizontal="left" indent="1"/>
    </xf>
    <xf numFmtId="171" fontId="29" fillId="0" borderId="1" xfId="3" applyNumberFormat="1" applyFont="1" applyBorder="1" applyAlignment="1">
      <alignment horizontal="right" indent="1"/>
    </xf>
    <xf numFmtId="0" fontId="28" fillId="0" borderId="1" xfId="3" applyFont="1" applyBorder="1" applyAlignment="1">
      <alignment horizontal="left" wrapText="1" indent="1"/>
    </xf>
    <xf numFmtId="0" fontId="28" fillId="10" borderId="1" xfId="3" applyFont="1" applyFill="1" applyBorder="1"/>
    <xf numFmtId="4" fontId="25" fillId="0" borderId="0" xfId="3" applyNumberFormat="1" applyFont="1"/>
    <xf numFmtId="0" fontId="27" fillId="0" borderId="1" xfId="3" applyFont="1" applyBorder="1" applyAlignment="1">
      <alignment horizontal="left"/>
    </xf>
    <xf numFmtId="0" fontId="30" fillId="4" borderId="1" xfId="3" applyFont="1" applyFill="1" applyBorder="1"/>
    <xf numFmtId="0" fontId="27" fillId="0" borderId="1" xfId="3" applyFont="1" applyBorder="1"/>
    <xf numFmtId="0" fontId="27" fillId="0" borderId="1" xfId="3" applyFont="1" applyBorder="1" applyAlignment="1">
      <alignment horizontal="left" indent="1"/>
    </xf>
    <xf numFmtId="0" fontId="28" fillId="0" borderId="1" xfId="3" applyFont="1" applyBorder="1" applyAlignment="1">
      <alignment horizontal="left" indent="2"/>
    </xf>
    <xf numFmtId="0" fontId="27" fillId="10" borderId="1" xfId="3" applyFont="1" applyFill="1" applyBorder="1" applyAlignment="1">
      <alignment horizontal="left"/>
    </xf>
    <xf numFmtId="2" fontId="25" fillId="0" borderId="0" xfId="3" applyNumberFormat="1" applyFont="1"/>
    <xf numFmtId="0" fontId="31" fillId="0" borderId="0" xfId="3" applyFont="1"/>
    <xf numFmtId="0" fontId="32" fillId="0" borderId="0" xfId="3" applyFont="1"/>
    <xf numFmtId="0" fontId="33" fillId="0" borderId="0" xfId="3" applyFont="1" applyAlignment="1">
      <alignment horizontal="center"/>
    </xf>
    <xf numFmtId="0" fontId="33" fillId="0" borderId="0" xfId="3" applyFont="1"/>
    <xf numFmtId="0" fontId="34" fillId="0" borderId="0" xfId="3" applyFont="1"/>
    <xf numFmtId="0" fontId="31" fillId="0" borderId="0" xfId="3" applyFont="1" applyAlignment="1">
      <alignment horizontal="left" wrapText="1"/>
    </xf>
    <xf numFmtId="0" fontId="35" fillId="0" borderId="0" xfId="3" applyFont="1"/>
    <xf numFmtId="3" fontId="33" fillId="0" borderId="0" xfId="3" applyNumberFormat="1" applyFont="1"/>
    <xf numFmtId="0" fontId="37" fillId="7" borderId="0" xfId="4" applyFont="1" applyFill="1"/>
    <xf numFmtId="0" fontId="8" fillId="0" borderId="4" xfId="3" applyFont="1" applyBorder="1"/>
    <xf numFmtId="0" fontId="8" fillId="0" borderId="5" xfId="3" applyFont="1" applyBorder="1"/>
    <xf numFmtId="168" fontId="6" fillId="0" borderId="6" xfId="3" applyNumberFormat="1" applyFont="1" applyBorder="1" applyAlignment="1">
      <alignment horizontal="right" vertical="center" wrapText="1"/>
    </xf>
    <xf numFmtId="168" fontId="6" fillId="0" borderId="7" xfId="3" applyNumberFormat="1" applyFont="1" applyBorder="1" applyAlignment="1">
      <alignment horizontal="right" vertical="center" wrapText="1"/>
    </xf>
    <xf numFmtId="168" fontId="6" fillId="0" borderId="8" xfId="3" applyNumberFormat="1" applyFont="1" applyBorder="1" applyAlignment="1">
      <alignment horizontal="right" vertical="center" wrapText="1"/>
    </xf>
    <xf numFmtId="0" fontId="3" fillId="0" borderId="0" xfId="3" applyFont="1"/>
    <xf numFmtId="0" fontId="6" fillId="7" borderId="9" xfId="3" applyFont="1" applyFill="1" applyBorder="1" applyAlignment="1">
      <alignment horizontal="center" vertical="center"/>
    </xf>
    <xf numFmtId="0" fontId="6" fillId="7" borderId="10" xfId="3" applyFont="1" applyFill="1" applyBorder="1" applyAlignment="1">
      <alignment horizontal="center" vertical="center" wrapText="1"/>
    </xf>
    <xf numFmtId="0" fontId="6" fillId="0" borderId="12" xfId="3" applyFont="1" applyBorder="1" applyAlignment="1">
      <alignment vertical="center"/>
    </xf>
    <xf numFmtId="0" fontId="6" fillId="0" borderId="13" xfId="3" applyFont="1" applyBorder="1" applyAlignment="1">
      <alignment vertical="center" wrapText="1"/>
    </xf>
    <xf numFmtId="1" fontId="6" fillId="0" borderId="14" xfId="3" applyNumberFormat="1" applyFont="1" applyBorder="1" applyAlignment="1">
      <alignment horizontal="center" vertical="center" wrapText="1"/>
    </xf>
    <xf numFmtId="1" fontId="6" fillId="0" borderId="15" xfId="3" applyNumberFormat="1" applyFont="1" applyBorder="1" applyAlignment="1">
      <alignment horizontal="center" vertical="center" wrapText="1"/>
    </xf>
    <xf numFmtId="1" fontId="6" fillId="0" borderId="16" xfId="3" applyNumberFormat="1" applyFont="1" applyBorder="1" applyAlignment="1">
      <alignment horizontal="center" vertical="center" wrapText="1"/>
    </xf>
    <xf numFmtId="0" fontId="33" fillId="0" borderId="10" xfId="3" applyFont="1" applyBorder="1"/>
    <xf numFmtId="0" fontId="33" fillId="0" borderId="17" xfId="3" applyFont="1" applyBorder="1"/>
    <xf numFmtId="0" fontId="33" fillId="0" borderId="18" xfId="3" applyFont="1" applyBorder="1" applyAlignment="1">
      <alignment horizontal="center"/>
    </xf>
    <xf numFmtId="0" fontId="6" fillId="12" borderId="2" xfId="3" applyFont="1" applyFill="1" applyBorder="1"/>
    <xf numFmtId="0" fontId="6" fillId="12" borderId="19" xfId="3" applyFont="1" applyFill="1" applyBorder="1"/>
    <xf numFmtId="0" fontId="6" fillId="12" borderId="3" xfId="3" applyFont="1" applyFill="1" applyBorder="1" applyAlignment="1">
      <alignment horizontal="center"/>
    </xf>
    <xf numFmtId="0" fontId="6" fillId="12" borderId="1" xfId="3" applyFont="1" applyFill="1" applyBorder="1" applyAlignment="1">
      <alignment horizontal="center"/>
    </xf>
    <xf numFmtId="0" fontId="6" fillId="12" borderId="20" xfId="3" applyFont="1" applyFill="1" applyBorder="1" applyAlignment="1">
      <alignment horizontal="center"/>
    </xf>
    <xf numFmtId="0" fontId="6" fillId="12" borderId="21" xfId="3" applyFont="1" applyFill="1" applyBorder="1" applyAlignment="1">
      <alignment horizontal="center"/>
    </xf>
    <xf numFmtId="0" fontId="6" fillId="0" borderId="1" xfId="3" applyFont="1" applyBorder="1"/>
    <xf numFmtId="0" fontId="6" fillId="0" borderId="2" xfId="3" applyFont="1" applyBorder="1"/>
    <xf numFmtId="0" fontId="6" fillId="0" borderId="19" xfId="3" applyFont="1" applyBorder="1"/>
    <xf numFmtId="3" fontId="6" fillId="6" borderId="3" xfId="3" applyNumberFormat="1" applyFont="1" applyFill="1" applyBorder="1" applyAlignment="1">
      <alignment horizontal="center"/>
    </xf>
    <xf numFmtId="3" fontId="6" fillId="6" borderId="1" xfId="3" applyNumberFormat="1" applyFont="1" applyFill="1" applyBorder="1" applyAlignment="1">
      <alignment horizontal="center"/>
    </xf>
    <xf numFmtId="3" fontId="6" fillId="6" borderId="20" xfId="3" applyNumberFormat="1" applyFont="1" applyFill="1" applyBorder="1" applyAlignment="1">
      <alignment horizontal="center"/>
    </xf>
    <xf numFmtId="3" fontId="6" fillId="6" borderId="21" xfId="3" applyNumberFormat="1" applyFont="1" applyFill="1" applyBorder="1" applyAlignment="1">
      <alignment horizontal="center"/>
    </xf>
    <xf numFmtId="168" fontId="6" fillId="6" borderId="21" xfId="3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left" indent="1"/>
    </xf>
    <xf numFmtId="0" fontId="8" fillId="0" borderId="2" xfId="3" applyFont="1" applyBorder="1" applyAlignment="1">
      <alignment horizontal="left" indent="1"/>
    </xf>
    <xf numFmtId="0" fontId="8" fillId="0" borderId="19" xfId="3" applyFont="1" applyBorder="1" applyAlignment="1">
      <alignment horizontal="left" indent="1"/>
    </xf>
    <xf numFmtId="3" fontId="8" fillId="6" borderId="3" xfId="3" applyNumberFormat="1" applyFont="1" applyFill="1" applyBorder="1" applyAlignment="1">
      <alignment horizontal="center"/>
    </xf>
    <xf numFmtId="3" fontId="8" fillId="6" borderId="1" xfId="3" applyNumberFormat="1" applyFont="1" applyFill="1" applyBorder="1" applyAlignment="1">
      <alignment horizontal="center"/>
    </xf>
    <xf numFmtId="3" fontId="8" fillId="6" borderId="20" xfId="3" applyNumberFormat="1" applyFont="1" applyFill="1" applyBorder="1" applyAlignment="1">
      <alignment horizontal="center"/>
    </xf>
    <xf numFmtId="3" fontId="8" fillId="6" borderId="21" xfId="3" applyNumberFormat="1" applyFont="1" applyFill="1" applyBorder="1" applyAlignment="1">
      <alignment horizontal="center"/>
    </xf>
    <xf numFmtId="168" fontId="8" fillId="6" borderId="21" xfId="3" applyNumberFormat="1" applyFont="1" applyFill="1" applyBorder="1" applyAlignment="1">
      <alignment horizontal="center"/>
    </xf>
    <xf numFmtId="168" fontId="8" fillId="6" borderId="1" xfId="3" applyNumberFormat="1" applyFont="1" applyFill="1" applyBorder="1" applyAlignment="1">
      <alignment horizontal="center"/>
    </xf>
    <xf numFmtId="168" fontId="8" fillId="6" borderId="20" xfId="3" applyNumberFormat="1" applyFont="1" applyFill="1" applyBorder="1" applyAlignment="1">
      <alignment horizontal="center"/>
    </xf>
    <xf numFmtId="0" fontId="38" fillId="0" borderId="0" xfId="3" applyFont="1"/>
    <xf numFmtId="0" fontId="6" fillId="12" borderId="22" xfId="3" applyFont="1" applyFill="1" applyBorder="1" applyAlignment="1">
      <alignment horizontal="center"/>
    </xf>
    <xf numFmtId="0" fontId="6" fillId="12" borderId="2" xfId="3" applyFont="1" applyFill="1" applyBorder="1" applyAlignment="1">
      <alignment horizontal="center"/>
    </xf>
    <xf numFmtId="0" fontId="6" fillId="12" borderId="23" xfId="3" applyFont="1" applyFill="1" applyBorder="1" applyAlignment="1">
      <alignment horizontal="center"/>
    </xf>
    <xf numFmtId="0" fontId="8" fillId="0" borderId="1" xfId="3" applyFont="1" applyBorder="1"/>
    <xf numFmtId="0" fontId="8" fillId="13" borderId="1" xfId="3" applyFont="1" applyFill="1" applyBorder="1" applyAlignment="1">
      <alignment horizontal="left" indent="1"/>
    </xf>
    <xf numFmtId="0" fontId="8" fillId="13" borderId="2" xfId="3" applyFont="1" applyFill="1" applyBorder="1" applyAlignment="1">
      <alignment horizontal="left" indent="1"/>
    </xf>
    <xf numFmtId="0" fontId="8" fillId="13" borderId="19" xfId="3" applyFont="1" applyFill="1" applyBorder="1" applyAlignment="1">
      <alignment horizontal="left" indent="1"/>
    </xf>
    <xf numFmtId="3" fontId="8" fillId="13" borderId="3" xfId="3" applyNumberFormat="1" applyFont="1" applyFill="1" applyBorder="1" applyAlignment="1">
      <alignment horizontal="center"/>
    </xf>
    <xf numFmtId="3" fontId="8" fillId="13" borderId="1" xfId="3" applyNumberFormat="1" applyFont="1" applyFill="1" applyBorder="1" applyAlignment="1">
      <alignment horizontal="center"/>
    </xf>
    <xf numFmtId="3" fontId="8" fillId="13" borderId="20" xfId="3" applyNumberFormat="1" applyFont="1" applyFill="1" applyBorder="1" applyAlignment="1">
      <alignment horizontal="center"/>
    </xf>
    <xf numFmtId="3" fontId="8" fillId="13" borderId="21" xfId="3" applyNumberFormat="1" applyFont="1" applyFill="1" applyBorder="1" applyAlignment="1">
      <alignment horizontal="center"/>
    </xf>
    <xf numFmtId="0" fontId="8" fillId="13" borderId="3" xfId="3" applyFont="1" applyFill="1" applyBorder="1" applyAlignment="1">
      <alignment horizontal="center"/>
    </xf>
    <xf numFmtId="0" fontId="8" fillId="13" borderId="1" xfId="3" applyFont="1" applyFill="1" applyBorder="1" applyAlignment="1">
      <alignment horizontal="center"/>
    </xf>
    <xf numFmtId="0" fontId="8" fillId="13" borderId="20" xfId="3" applyFont="1" applyFill="1" applyBorder="1" applyAlignment="1">
      <alignment horizontal="center"/>
    </xf>
    <xf numFmtId="0" fontId="8" fillId="13" borderId="21" xfId="3" applyFont="1" applyFill="1" applyBorder="1" applyAlignment="1">
      <alignment horizontal="center"/>
    </xf>
    <xf numFmtId="3" fontId="6" fillId="13" borderId="3" xfId="3" applyNumberFormat="1" applyFont="1" applyFill="1" applyBorder="1" applyAlignment="1">
      <alignment horizontal="center"/>
    </xf>
    <xf numFmtId="3" fontId="6" fillId="13" borderId="1" xfId="3" applyNumberFormat="1" applyFont="1" applyFill="1" applyBorder="1" applyAlignment="1">
      <alignment horizontal="center"/>
    </xf>
    <xf numFmtId="3" fontId="6" fillId="13" borderId="20" xfId="3" applyNumberFormat="1" applyFont="1" applyFill="1" applyBorder="1" applyAlignment="1">
      <alignment horizontal="center"/>
    </xf>
    <xf numFmtId="3" fontId="6" fillId="13" borderId="21" xfId="3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left"/>
    </xf>
    <xf numFmtId="0" fontId="8" fillId="0" borderId="2" xfId="3" applyFont="1" applyBorder="1" applyAlignment="1">
      <alignment horizontal="left" indent="6"/>
    </xf>
    <xf numFmtId="0" fontId="8" fillId="0" borderId="19" xfId="3" applyFont="1" applyBorder="1"/>
    <xf numFmtId="0" fontId="8" fillId="0" borderId="2" xfId="3" applyFont="1" applyBorder="1"/>
    <xf numFmtId="0" fontId="6" fillId="12" borderId="2" xfId="3" applyFont="1" applyFill="1" applyBorder="1" applyAlignment="1">
      <alignment wrapText="1"/>
    </xf>
    <xf numFmtId="0" fontId="6" fillId="12" borderId="19" xfId="3" applyFont="1" applyFill="1" applyBorder="1" applyAlignment="1">
      <alignment wrapText="1"/>
    </xf>
    <xf numFmtId="168" fontId="6" fillId="6" borderId="1" xfId="3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left" indent="1"/>
    </xf>
    <xf numFmtId="0" fontId="6" fillId="0" borderId="2" xfId="3" applyFont="1" applyBorder="1" applyAlignment="1">
      <alignment horizontal="left" indent="1"/>
    </xf>
    <xf numFmtId="0" fontId="6" fillId="0" borderId="19" xfId="3" applyFont="1" applyBorder="1" applyAlignment="1">
      <alignment horizontal="left" indent="1"/>
    </xf>
    <xf numFmtId="0" fontId="8" fillId="13" borderId="1" xfId="3" applyFont="1" applyFill="1" applyBorder="1" applyAlignment="1">
      <alignment horizontal="left" indent="2"/>
    </xf>
    <xf numFmtId="0" fontId="8" fillId="13" borderId="2" xfId="3" applyFont="1" applyFill="1" applyBorder="1" applyAlignment="1">
      <alignment horizontal="left" indent="2"/>
    </xf>
    <xf numFmtId="0" fontId="8" fillId="13" borderId="19" xfId="3" applyFont="1" applyFill="1" applyBorder="1" applyAlignment="1">
      <alignment horizontal="left" indent="2"/>
    </xf>
    <xf numFmtId="0" fontId="8" fillId="0" borderId="1" xfId="3" applyFont="1" applyBorder="1" applyAlignment="1">
      <alignment horizontal="left" indent="2"/>
    </xf>
    <xf numFmtId="0" fontId="8" fillId="0" borderId="2" xfId="3" applyFont="1" applyBorder="1" applyAlignment="1">
      <alignment horizontal="left" indent="4"/>
    </xf>
    <xf numFmtId="0" fontId="8" fillId="0" borderId="2" xfId="3" applyFont="1" applyBorder="1" applyAlignment="1">
      <alignment horizontal="left" indent="10"/>
    </xf>
    <xf numFmtId="4" fontId="8" fillId="13" borderId="1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left" indent="2"/>
    </xf>
    <xf numFmtId="0" fontId="8" fillId="0" borderId="19" xfId="3" applyFont="1" applyBorder="1" applyAlignment="1">
      <alignment horizontal="left" indent="2"/>
    </xf>
    <xf numFmtId="4" fontId="8" fillId="6" borderId="1" xfId="3" applyNumberFormat="1" applyFont="1" applyFill="1" applyBorder="1" applyAlignment="1">
      <alignment horizontal="center"/>
    </xf>
    <xf numFmtId="0" fontId="8" fillId="0" borderId="2" xfId="3" applyFont="1" applyBorder="1" applyAlignment="1">
      <alignment horizontal="left" indent="9"/>
    </xf>
    <xf numFmtId="0" fontId="8" fillId="6" borderId="3" xfId="3" applyFont="1" applyFill="1" applyBorder="1" applyAlignment="1">
      <alignment horizontal="center"/>
    </xf>
    <xf numFmtId="0" fontId="8" fillId="6" borderId="1" xfId="3" applyFont="1" applyFill="1" applyBorder="1" applyAlignment="1">
      <alignment horizontal="center"/>
    </xf>
    <xf numFmtId="0" fontId="8" fillId="6" borderId="20" xfId="3" applyFont="1" applyFill="1" applyBorder="1" applyAlignment="1">
      <alignment horizontal="center"/>
    </xf>
    <xf numFmtId="0" fontId="8" fillId="6" borderId="21" xfId="3" applyFont="1" applyFill="1" applyBorder="1" applyAlignment="1">
      <alignment horizontal="center"/>
    </xf>
    <xf numFmtId="0" fontId="8" fillId="0" borderId="2" xfId="3" applyFont="1" applyBorder="1" applyAlignment="1">
      <alignment horizontal="left" indent="8"/>
    </xf>
    <xf numFmtId="3" fontId="8" fillId="6" borderId="24" xfId="3" applyNumberFormat="1" applyFont="1" applyFill="1" applyBorder="1" applyAlignment="1">
      <alignment horizontal="center"/>
    </xf>
    <xf numFmtId="0" fontId="38" fillId="0" borderId="2" xfId="5" applyFont="1" applyBorder="1" applyAlignment="1">
      <alignment horizontal="left"/>
    </xf>
    <xf numFmtId="0" fontId="38" fillId="0" borderId="19" xfId="5" applyFont="1" applyBorder="1" applyAlignment="1">
      <alignment horizontal="left"/>
    </xf>
    <xf numFmtId="0" fontId="8" fillId="6" borderId="24" xfId="3" applyFont="1" applyFill="1" applyBorder="1" applyAlignment="1">
      <alignment horizontal="center"/>
    </xf>
    <xf numFmtId="0" fontId="38" fillId="0" borderId="2" xfId="5" applyFont="1" applyBorder="1" applyAlignment="1">
      <alignment horizontal="center" wrapText="1"/>
    </xf>
    <xf numFmtId="0" fontId="38" fillId="0" borderId="19" xfId="5" applyFont="1" applyBorder="1" applyAlignment="1">
      <alignment horizontal="center" wrapText="1"/>
    </xf>
    <xf numFmtId="0" fontId="8" fillId="0" borderId="2" xfId="3" applyFont="1" applyBorder="1" applyAlignment="1">
      <alignment horizontal="center"/>
    </xf>
    <xf numFmtId="0" fontId="8" fillId="0" borderId="19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20" xfId="3" applyFont="1" applyBorder="1" applyAlignment="1">
      <alignment horizontal="center"/>
    </xf>
    <xf numFmtId="0" fontId="8" fillId="0" borderId="21" xfId="3" applyFont="1" applyBorder="1" applyAlignment="1">
      <alignment horizontal="center"/>
    </xf>
    <xf numFmtId="0" fontId="2" fillId="0" borderId="0" xfId="5"/>
    <xf numFmtId="0" fontId="6" fillId="10" borderId="27" xfId="5" applyFont="1" applyFill="1" applyBorder="1"/>
    <xf numFmtId="0" fontId="6" fillId="14" borderId="21" xfId="5" applyFont="1" applyFill="1" applyBorder="1"/>
    <xf numFmtId="0" fontId="8" fillId="0" borderId="21" xfId="5" applyFont="1" applyBorder="1"/>
    <xf numFmtId="4" fontId="2" fillId="0" borderId="20" xfId="5" applyNumberFormat="1" applyBorder="1"/>
    <xf numFmtId="0" fontId="2" fillId="0" borderId="20" xfId="5" applyBorder="1"/>
    <xf numFmtId="0" fontId="39" fillId="6" borderId="20" xfId="5" applyFont="1" applyFill="1" applyBorder="1" applyAlignment="1">
      <alignment horizontal="center"/>
    </xf>
    <xf numFmtId="0" fontId="6" fillId="10" borderId="21" xfId="5" applyFont="1" applyFill="1" applyBorder="1"/>
    <xf numFmtId="3" fontId="2" fillId="0" borderId="20" xfId="5" applyNumberFormat="1" applyBorder="1"/>
    <xf numFmtId="0" fontId="8" fillId="0" borderId="28" xfId="5" applyFont="1" applyBorder="1"/>
    <xf numFmtId="0" fontId="2" fillId="0" borderId="29" xfId="5" applyBorder="1"/>
    <xf numFmtId="0" fontId="8" fillId="0" borderId="0" xfId="5" applyFont="1"/>
    <xf numFmtId="2" fontId="6" fillId="10" borderId="27" xfId="5" applyNumberFormat="1" applyFont="1" applyFill="1" applyBorder="1"/>
    <xf numFmtId="2" fontId="6" fillId="14" borderId="21" xfId="5" applyNumberFormat="1" applyFont="1" applyFill="1" applyBorder="1"/>
    <xf numFmtId="2" fontId="2" fillId="0" borderId="20" xfId="5" applyNumberFormat="1" applyBorder="1"/>
    <xf numFmtId="0" fontId="41" fillId="0" borderId="0" xfId="6"/>
    <xf numFmtId="0" fontId="42" fillId="0" borderId="30" xfId="7" applyFont="1" applyBorder="1" applyAlignment="1">
      <alignment horizontal="center"/>
    </xf>
    <xf numFmtId="0" fontId="42" fillId="15" borderId="30" xfId="7" applyFont="1" applyFill="1" applyBorder="1" applyAlignment="1">
      <alignment horizontal="center"/>
    </xf>
    <xf numFmtId="0" fontId="42" fillId="9" borderId="30" xfId="7" applyFont="1" applyFill="1" applyBorder="1" applyAlignment="1">
      <alignment horizontal="center"/>
    </xf>
    <xf numFmtId="0" fontId="42" fillId="0" borderId="31" xfId="7" applyFont="1" applyBorder="1" applyAlignment="1">
      <alignment horizontal="center"/>
    </xf>
    <xf numFmtId="0" fontId="42" fillId="12" borderId="31" xfId="7" applyFont="1" applyFill="1" applyBorder="1" applyAlignment="1">
      <alignment horizontal="center"/>
    </xf>
    <xf numFmtId="0" fontId="42" fillId="11" borderId="31" xfId="7" applyFont="1" applyFill="1" applyBorder="1" applyAlignment="1">
      <alignment horizontal="center"/>
    </xf>
    <xf numFmtId="0" fontId="42" fillId="16" borderId="31" xfId="7" applyFont="1" applyFill="1" applyBorder="1" applyAlignment="1">
      <alignment horizontal="center"/>
    </xf>
    <xf numFmtId="0" fontId="42" fillId="17" borderId="31" xfId="7" applyFont="1" applyFill="1" applyBorder="1" applyAlignment="1">
      <alignment horizontal="center"/>
    </xf>
    <xf numFmtId="0" fontId="1" fillId="0" borderId="0" xfId="7"/>
    <xf numFmtId="172" fontId="0" fillId="0" borderId="0" xfId="8" applyNumberFormat="1" applyFont="1"/>
    <xf numFmtId="0" fontId="43" fillId="0" borderId="0" xfId="6" applyFont="1"/>
    <xf numFmtId="173" fontId="4" fillId="0" borderId="32" xfId="9" applyNumberFormat="1" applyFont="1" applyBorder="1" applyAlignment="1">
      <alignment horizontal="center"/>
    </xf>
    <xf numFmtId="173" fontId="4" fillId="15" borderId="32" xfId="9" applyNumberFormat="1" applyFont="1" applyFill="1" applyBorder="1" applyAlignment="1">
      <alignment horizontal="center"/>
    </xf>
    <xf numFmtId="173" fontId="4" fillId="9" borderId="32" xfId="9" applyNumberFormat="1" applyFont="1" applyFill="1" applyBorder="1" applyAlignment="1">
      <alignment horizontal="center"/>
    </xf>
    <xf numFmtId="173" fontId="1" fillId="12" borderId="0" xfId="7" applyNumberFormat="1" applyFill="1"/>
    <xf numFmtId="174" fontId="1" fillId="0" borderId="0" xfId="7" applyNumberFormat="1"/>
    <xf numFmtId="173" fontId="1" fillId="0" borderId="0" xfId="7" applyNumberFormat="1"/>
    <xf numFmtId="175" fontId="1" fillId="0" borderId="0" xfId="7" applyNumberFormat="1"/>
    <xf numFmtId="174" fontId="1" fillId="11" borderId="0" xfId="7" applyNumberFormat="1" applyFill="1"/>
    <xf numFmtId="174" fontId="1" fillId="16" borderId="0" xfId="7" applyNumberFormat="1" applyFill="1"/>
    <xf numFmtId="174" fontId="1" fillId="17" borderId="0" xfId="7" applyNumberFormat="1" applyFill="1"/>
    <xf numFmtId="0" fontId="45" fillId="9" borderId="0" xfId="6" applyFont="1" applyFill="1"/>
    <xf numFmtId="0" fontId="45" fillId="18" borderId="0" xfId="6" applyFont="1" applyFill="1"/>
    <xf numFmtId="0" fontId="45" fillId="0" borderId="0" xfId="6" applyFont="1"/>
    <xf numFmtId="175" fontId="0" fillId="0" borderId="32" xfId="9" applyNumberFormat="1" applyFont="1" applyBorder="1" applyAlignment="1">
      <alignment horizontal="center"/>
    </xf>
    <xf numFmtId="175" fontId="0" fillId="15" borderId="32" xfId="9" applyNumberFormat="1" applyFont="1" applyFill="1" applyBorder="1" applyAlignment="1">
      <alignment horizontal="center"/>
    </xf>
    <xf numFmtId="175" fontId="0" fillId="9" borderId="32" xfId="9" applyNumberFormat="1" applyFont="1" applyFill="1" applyBorder="1" applyAlignment="1">
      <alignment horizontal="center"/>
    </xf>
    <xf numFmtId="175" fontId="4" fillId="0" borderId="32" xfId="9" applyNumberFormat="1" applyFont="1" applyBorder="1" applyAlignment="1">
      <alignment horizontal="center"/>
    </xf>
    <xf numFmtId="175" fontId="4" fillId="15" borderId="32" xfId="9" applyNumberFormat="1" applyFont="1" applyFill="1" applyBorder="1" applyAlignment="1">
      <alignment horizontal="center"/>
    </xf>
    <xf numFmtId="175" fontId="4" fillId="9" borderId="32" xfId="9" applyNumberFormat="1" applyFont="1" applyFill="1" applyBorder="1" applyAlignment="1">
      <alignment horizontal="center"/>
    </xf>
    <xf numFmtId="175" fontId="14" fillId="0" borderId="32" xfId="9" applyNumberFormat="1" applyFont="1" applyBorder="1" applyAlignment="1">
      <alignment horizontal="center"/>
    </xf>
    <xf numFmtId="175" fontId="14" fillId="15" borderId="32" xfId="9" applyNumberFormat="1" applyFont="1" applyFill="1" applyBorder="1" applyAlignment="1">
      <alignment horizontal="center"/>
    </xf>
    <xf numFmtId="175" fontId="14" fillId="9" borderId="32" xfId="9" applyNumberFormat="1" applyFont="1" applyFill="1" applyBorder="1" applyAlignment="1">
      <alignment horizontal="center"/>
    </xf>
    <xf numFmtId="175" fontId="1" fillId="15" borderId="0" xfId="7" applyNumberFormat="1" applyFill="1"/>
    <xf numFmtId="176" fontId="6" fillId="0" borderId="1" xfId="8" applyNumberFormat="1" applyFont="1" applyBorder="1"/>
    <xf numFmtId="176" fontId="6" fillId="15" borderId="1" xfId="8" applyNumberFormat="1" applyFont="1" applyFill="1" applyBorder="1"/>
    <xf numFmtId="176" fontId="6" fillId="9" borderId="1" xfId="8" applyNumberFormat="1" applyFont="1" applyFill="1" applyBorder="1"/>
    <xf numFmtId="176" fontId="8" fillId="0" borderId="1" xfId="8" applyNumberFormat="1" applyFont="1" applyBorder="1"/>
    <xf numFmtId="176" fontId="8" fillId="15" borderId="1" xfId="8" applyNumberFormat="1" applyFont="1" applyFill="1" applyBorder="1"/>
    <xf numFmtId="176" fontId="8" fillId="9" borderId="1" xfId="8" applyNumberFormat="1" applyFont="1" applyFill="1" applyBorder="1"/>
    <xf numFmtId="174" fontId="1" fillId="15" borderId="0" xfId="7" applyNumberFormat="1" applyFill="1"/>
    <xf numFmtId="0" fontId="6" fillId="0" borderId="20" xfId="7" applyFont="1" applyBorder="1"/>
    <xf numFmtId="0" fontId="6" fillId="15" borderId="20" xfId="7" applyFont="1" applyFill="1" applyBorder="1"/>
    <xf numFmtId="0" fontId="6" fillId="9" borderId="20" xfId="7" applyFont="1" applyFill="1" applyBorder="1"/>
    <xf numFmtId="176" fontId="6" fillId="0" borderId="20" xfId="8" applyNumberFormat="1" applyFont="1" applyBorder="1"/>
    <xf numFmtId="176" fontId="6" fillId="15" borderId="20" xfId="8" applyNumberFormat="1" applyFont="1" applyFill="1" applyBorder="1"/>
    <xf numFmtId="176" fontId="6" fillId="9" borderId="20" xfId="8" applyNumberFormat="1" applyFont="1" applyFill="1" applyBorder="1"/>
    <xf numFmtId="176" fontId="8" fillId="0" borderId="20" xfId="8" applyNumberFormat="1" applyFont="1" applyBorder="1"/>
    <xf numFmtId="176" fontId="8" fillId="15" borderId="20" xfId="8" applyNumberFormat="1" applyFont="1" applyFill="1" applyBorder="1"/>
    <xf numFmtId="176" fontId="8" fillId="9" borderId="20" xfId="8" applyNumberFormat="1" applyFont="1" applyFill="1" applyBorder="1"/>
    <xf numFmtId="0" fontId="43" fillId="15" borderId="0" xfId="6" applyFont="1" applyFill="1"/>
    <xf numFmtId="175" fontId="40" fillId="0" borderId="0" xfId="7" applyNumberFormat="1" applyFont="1"/>
    <xf numFmtId="175" fontId="1" fillId="12" borderId="0" xfId="7" applyNumberFormat="1" applyFill="1"/>
    <xf numFmtId="166" fontId="6" fillId="0" borderId="20" xfId="8" applyNumberFormat="1" applyFont="1" applyBorder="1"/>
    <xf numFmtId="166" fontId="6" fillId="15" borderId="20" xfId="8" applyNumberFormat="1" applyFont="1" applyFill="1" applyBorder="1"/>
    <xf numFmtId="166" fontId="6" fillId="9" borderId="20" xfId="8" applyNumberFormat="1" applyFont="1" applyFill="1" applyBorder="1"/>
    <xf numFmtId="166" fontId="8" fillId="0" borderId="20" xfId="8" applyNumberFormat="1" applyFont="1" applyFill="1" applyBorder="1"/>
    <xf numFmtId="166" fontId="8" fillId="15" borderId="20" xfId="8" applyNumberFormat="1" applyFont="1" applyFill="1" applyBorder="1"/>
    <xf numFmtId="166" fontId="8" fillId="9" borderId="20" xfId="8" applyNumberFormat="1" applyFont="1" applyFill="1" applyBorder="1"/>
    <xf numFmtId="166" fontId="8" fillId="0" borderId="20" xfId="8" applyNumberFormat="1" applyFont="1" applyBorder="1"/>
    <xf numFmtId="166" fontId="6" fillId="0" borderId="1" xfId="8" applyNumberFormat="1" applyFont="1" applyBorder="1"/>
    <xf numFmtId="166" fontId="6" fillId="15" borderId="1" xfId="8" applyNumberFormat="1" applyFont="1" applyFill="1" applyBorder="1"/>
    <xf numFmtId="166" fontId="6" fillId="9" borderId="1" xfId="8" applyNumberFormat="1" applyFont="1" applyFill="1" applyBorder="1"/>
    <xf numFmtId="166" fontId="20" fillId="0" borderId="20" xfId="8" applyNumberFormat="1" applyFont="1" applyBorder="1"/>
    <xf numFmtId="166" fontId="20" fillId="15" borderId="20" xfId="8" applyNumberFormat="1" applyFont="1" applyFill="1" applyBorder="1"/>
    <xf numFmtId="166" fontId="20" fillId="9" borderId="20" xfId="8" applyNumberFormat="1" applyFont="1" applyFill="1" applyBorder="1"/>
    <xf numFmtId="166" fontId="20" fillId="12" borderId="20" xfId="8" applyNumberFormat="1" applyFont="1" applyFill="1" applyBorder="1"/>
    <xf numFmtId="166" fontId="6" fillId="0" borderId="33" xfId="8" applyNumberFormat="1" applyFont="1" applyBorder="1"/>
    <xf numFmtId="166" fontId="6" fillId="15" borderId="33" xfId="8" applyNumberFormat="1" applyFont="1" applyFill="1" applyBorder="1"/>
    <xf numFmtId="166" fontId="6" fillId="9" borderId="33" xfId="8" applyNumberFormat="1" applyFont="1" applyFill="1" applyBorder="1"/>
    <xf numFmtId="166" fontId="8" fillId="0" borderId="33" xfId="8" applyNumberFormat="1" applyFont="1" applyBorder="1"/>
    <xf numFmtId="166" fontId="8" fillId="15" borderId="33" xfId="8" applyNumberFormat="1" applyFont="1" applyFill="1" applyBorder="1"/>
    <xf numFmtId="166" fontId="8" fillId="9" borderId="33" xfId="8" applyNumberFormat="1" applyFont="1" applyFill="1" applyBorder="1"/>
    <xf numFmtId="166" fontId="16" fillId="0" borderId="33" xfId="8" applyNumberFormat="1" applyFont="1" applyBorder="1"/>
    <xf numFmtId="166" fontId="16" fillId="15" borderId="33" xfId="8" applyNumberFormat="1" applyFont="1" applyFill="1" applyBorder="1"/>
    <xf numFmtId="166" fontId="16" fillId="9" borderId="33" xfId="8" applyNumberFormat="1" applyFont="1" applyFill="1" applyBorder="1"/>
    <xf numFmtId="0" fontId="41" fillId="15" borderId="0" xfId="6" applyFill="1"/>
    <xf numFmtId="0" fontId="1" fillId="9" borderId="0" xfId="7" applyFill="1"/>
    <xf numFmtId="0" fontId="1" fillId="12" borderId="0" xfId="7" applyFill="1"/>
    <xf numFmtId="0" fontId="3" fillId="15" borderId="1" xfId="10" applyFont="1" applyFill="1" applyBorder="1"/>
    <xf numFmtId="0" fontId="3" fillId="15" borderId="1" xfId="10" applyFont="1" applyFill="1" applyBorder="1" applyAlignment="1">
      <alignment horizontal="centerContinuous"/>
    </xf>
    <xf numFmtId="0" fontId="0" fillId="15" borderId="0" xfId="0" applyFill="1"/>
    <xf numFmtId="0" fontId="3" fillId="15" borderId="1" xfId="10" applyFont="1" applyFill="1" applyBorder="1" applyAlignment="1">
      <alignment horizontal="center"/>
    </xf>
    <xf numFmtId="0" fontId="1" fillId="15" borderId="1" xfId="11" applyFont="1" applyFill="1" applyBorder="1"/>
    <xf numFmtId="177" fontId="3" fillId="15" borderId="1" xfId="10" applyNumberFormat="1" applyFont="1" applyFill="1" applyBorder="1"/>
    <xf numFmtId="3" fontId="0" fillId="15" borderId="1" xfId="0" applyNumberFormat="1" applyFill="1" applyBorder="1"/>
    <xf numFmtId="177" fontId="3" fillId="15" borderId="1" xfId="1" applyNumberFormat="1" applyFont="1" applyFill="1" applyBorder="1"/>
    <xf numFmtId="0" fontId="1" fillId="7" borderId="1" xfId="11" applyFont="1" applyFill="1" applyBorder="1"/>
    <xf numFmtId="0" fontId="3" fillId="7" borderId="1" xfId="10" applyFont="1" applyFill="1" applyBorder="1"/>
    <xf numFmtId="177" fontId="3" fillId="7" borderId="1" xfId="10" applyNumberFormat="1" applyFont="1" applyFill="1" applyBorder="1"/>
    <xf numFmtId="177" fontId="3" fillId="7" borderId="1" xfId="1" applyNumberFormat="1" applyFont="1" applyFill="1" applyBorder="1"/>
    <xf numFmtId="177" fontId="0" fillId="15" borderId="0" xfId="0" applyNumberFormat="1" applyFill="1"/>
    <xf numFmtId="0" fontId="1" fillId="15" borderId="1" xfId="12" applyFill="1" applyBorder="1"/>
    <xf numFmtId="0" fontId="3" fillId="15" borderId="0" xfId="10" applyFont="1" applyFill="1"/>
    <xf numFmtId="0" fontId="0" fillId="15" borderId="0" xfId="10" applyFont="1" applyFill="1"/>
    <xf numFmtId="177" fontId="0" fillId="15" borderId="1" xfId="10" applyNumberFormat="1" applyFont="1" applyFill="1" applyBorder="1"/>
    <xf numFmtId="0" fontId="0" fillId="15" borderId="1" xfId="0" applyFill="1" applyBorder="1"/>
    <xf numFmtId="177" fontId="3" fillId="15" borderId="1" xfId="1" applyNumberFormat="1" applyFont="1" applyFill="1" applyBorder="1" applyAlignment="1">
      <alignment horizontal="right"/>
    </xf>
    <xf numFmtId="0" fontId="0" fillId="15" borderId="34" xfId="0" applyFill="1" applyBorder="1"/>
    <xf numFmtId="178" fontId="3" fillId="15" borderId="0" xfId="1" applyNumberFormat="1" applyFont="1" applyFill="1"/>
    <xf numFmtId="178" fontId="0" fillId="15" borderId="0" xfId="0" applyNumberFormat="1" applyFill="1"/>
    <xf numFmtId="170" fontId="0" fillId="15" borderId="0" xfId="0" applyNumberFormat="1" applyFill="1"/>
    <xf numFmtId="167" fontId="0" fillId="15" borderId="0" xfId="0" applyNumberFormat="1" applyFill="1"/>
    <xf numFmtId="4" fontId="0" fillId="15" borderId="0" xfId="0" applyNumberFormat="1" applyFill="1"/>
    <xf numFmtId="176" fontId="0" fillId="15" borderId="0" xfId="1" applyNumberFormat="1" applyFont="1" applyFill="1"/>
    <xf numFmtId="0" fontId="0" fillId="15" borderId="1" xfId="10" applyFont="1" applyFill="1" applyBorder="1" applyAlignment="1">
      <alignment horizontal="center"/>
    </xf>
    <xf numFmtId="0" fontId="0" fillId="15" borderId="1" xfId="10" applyFont="1" applyFill="1" applyBorder="1"/>
    <xf numFmtId="178" fontId="3" fillId="15" borderId="1" xfId="10" applyNumberFormat="1" applyFont="1" applyFill="1" applyBorder="1"/>
    <xf numFmtId="178" fontId="3" fillId="15" borderId="1" xfId="1" applyNumberFormat="1" applyFont="1" applyFill="1" applyBorder="1"/>
    <xf numFmtId="178" fontId="0" fillId="15" borderId="1" xfId="1" applyNumberFormat="1" applyFont="1" applyFill="1" applyBorder="1"/>
    <xf numFmtId="4" fontId="6" fillId="0" borderId="0" xfId="0" applyNumberFormat="1" applyFont="1"/>
    <xf numFmtId="4" fontId="14" fillId="0" borderId="0" xfId="0" applyNumberFormat="1" applyFont="1"/>
    <xf numFmtId="170" fontId="14" fillId="0" borderId="0" xfId="1" applyFont="1"/>
    <xf numFmtId="4" fontId="10" fillId="0" borderId="0" xfId="0" applyNumberFormat="1" applyFont="1"/>
    <xf numFmtId="0" fontId="39" fillId="11" borderId="26" xfId="5" applyFont="1" applyFill="1" applyBorder="1" applyAlignment="1">
      <alignment horizontal="center"/>
    </xf>
    <xf numFmtId="3" fontId="5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17" fontId="6" fillId="2" borderId="1" xfId="0" applyNumberFormat="1" applyFont="1" applyFill="1" applyBorder="1" applyAlignment="1">
      <alignment horizontal="center" wrapText="1"/>
    </xf>
    <xf numFmtId="168" fontId="8" fillId="4" borderId="1" xfId="0" applyNumberFormat="1" applyFont="1" applyFill="1" applyBorder="1" applyProtection="1">
      <protection locked="0"/>
    </xf>
    <xf numFmtId="4" fontId="50" fillId="0" borderId="0" xfId="0" applyNumberFormat="1" applyFont="1"/>
    <xf numFmtId="4" fontId="8" fillId="0" borderId="35" xfId="0" applyNumberFormat="1" applyFont="1" applyBorder="1" applyProtection="1">
      <protection locked="0"/>
    </xf>
    <xf numFmtId="169" fontId="14" fillId="0" borderId="0" xfId="0" applyNumberFormat="1" applyFont="1"/>
    <xf numFmtId="169" fontId="10" fillId="0" borderId="0" xfId="0" applyNumberFormat="1" applyFont="1"/>
    <xf numFmtId="179" fontId="51" fillId="15" borderId="0" xfId="1" applyNumberFormat="1" applyFont="1" applyFill="1"/>
    <xf numFmtId="173" fontId="52" fillId="0" borderId="0" xfId="0" applyNumberFormat="1" applyFont="1"/>
    <xf numFmtId="0" fontId="20" fillId="5" borderId="1" xfId="0" quotePrefix="1" applyFont="1" applyFill="1" applyBorder="1" applyAlignment="1">
      <alignment horizontal="left" indent="2"/>
    </xf>
    <xf numFmtId="4" fontId="52" fillId="0" borderId="0" xfId="0" applyNumberFormat="1" applyFont="1"/>
    <xf numFmtId="4" fontId="15" fillId="0" borderId="0" xfId="0" applyNumberFormat="1" applyFont="1"/>
    <xf numFmtId="4" fontId="16" fillId="0" borderId="0" xfId="0" applyNumberFormat="1" applyFont="1"/>
    <xf numFmtId="170" fontId="50" fillId="0" borderId="0" xfId="1" applyFont="1"/>
    <xf numFmtId="179" fontId="50" fillId="0" borderId="0" xfId="1" applyNumberFormat="1" applyFont="1"/>
    <xf numFmtId="170" fontId="52" fillId="0" borderId="0" xfId="1" applyFont="1"/>
    <xf numFmtId="180" fontId="13" fillId="6" borderId="0" xfId="13" applyNumberFormat="1" applyFont="1" applyFill="1"/>
    <xf numFmtId="176" fontId="53" fillId="0" borderId="0" xfId="1" applyNumberFormat="1" applyFont="1"/>
    <xf numFmtId="4" fontId="0" fillId="6" borderId="0" xfId="0" applyNumberFormat="1" applyFill="1"/>
    <xf numFmtId="181" fontId="54" fillId="6" borderId="0" xfId="1" applyNumberFormat="1" applyFont="1" applyFill="1"/>
    <xf numFmtId="4" fontId="15" fillId="6" borderId="0" xfId="0" applyNumberFormat="1" applyFont="1" applyFill="1"/>
    <xf numFmtId="3" fontId="55" fillId="6" borderId="0" xfId="0" applyNumberFormat="1" applyFont="1" applyFill="1"/>
    <xf numFmtId="0" fontId="15" fillId="5" borderId="1" xfId="2" quotePrefix="1" applyFont="1" applyFill="1" applyBorder="1" applyAlignment="1">
      <alignment horizontal="left" indent="1"/>
    </xf>
    <xf numFmtId="9" fontId="15" fillId="0" borderId="0" xfId="13" applyFont="1"/>
    <xf numFmtId="182" fontId="0" fillId="0" borderId="0" xfId="13" applyNumberFormat="1" applyFont="1"/>
    <xf numFmtId="4" fontId="17" fillId="0" borderId="0" xfId="0" applyNumberFormat="1" applyFont="1"/>
    <xf numFmtId="183" fontId="0" fillId="0" borderId="0" xfId="14" applyNumberFormat="1" applyFont="1"/>
    <xf numFmtId="10" fontId="6" fillId="3" borderId="35" xfId="13" applyNumberFormat="1" applyFont="1" applyFill="1" applyBorder="1" applyProtection="1">
      <protection locked="0"/>
    </xf>
    <xf numFmtId="170" fontId="15" fillId="0" borderId="0" xfId="1" applyFont="1"/>
    <xf numFmtId="2" fontId="0" fillId="6" borderId="0" xfId="13" applyNumberFormat="1" applyFont="1" applyFill="1"/>
    <xf numFmtId="171" fontId="6" fillId="6" borderId="0" xfId="13" applyNumberFormat="1" applyFont="1" applyFill="1" applyBorder="1" applyProtection="1">
      <protection locked="0"/>
    </xf>
    <xf numFmtId="182" fontId="0" fillId="6" borderId="0" xfId="13" applyNumberFormat="1" applyFont="1" applyFill="1"/>
    <xf numFmtId="2" fontId="6" fillId="0" borderId="0" xfId="13" applyNumberFormat="1" applyFont="1" applyFill="1" applyBorder="1" applyProtection="1">
      <protection locked="0"/>
    </xf>
    <xf numFmtId="10" fontId="0" fillId="0" borderId="0" xfId="13" applyNumberFormat="1" applyFont="1"/>
    <xf numFmtId="2" fontId="0" fillId="0" borderId="0" xfId="0" applyNumberFormat="1"/>
    <xf numFmtId="0" fontId="20" fillId="3" borderId="1" xfId="0" applyFont="1" applyFill="1" applyBorder="1" applyAlignment="1">
      <alignment horizontal="left" vertical="center"/>
    </xf>
    <xf numFmtId="0" fontId="15" fillId="8" borderId="1" xfId="2" applyFont="1" applyFill="1" applyBorder="1" applyAlignment="1">
      <alignment horizontal="left" vertical="center"/>
    </xf>
    <xf numFmtId="4" fontId="15" fillId="8" borderId="1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8" fontId="13" fillId="3" borderId="1" xfId="0" applyNumberFormat="1" applyFont="1" applyFill="1" applyBorder="1" applyProtection="1">
      <protection locked="0"/>
    </xf>
    <xf numFmtId="4" fontId="14" fillId="6" borderId="0" xfId="0" applyNumberFormat="1" applyFont="1" applyFill="1"/>
    <xf numFmtId="170" fontId="13" fillId="3" borderId="1" xfId="1" applyFont="1" applyFill="1" applyBorder="1" applyProtection="1">
      <protection locked="0"/>
    </xf>
    <xf numFmtId="169" fontId="15" fillId="0" borderId="0" xfId="0" applyNumberFormat="1" applyFont="1"/>
    <xf numFmtId="0" fontId="19" fillId="0" borderId="1" xfId="2" applyFont="1" applyBorder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169" fontId="5" fillId="0" borderId="0" xfId="0" applyNumberFormat="1" applyFont="1" applyProtection="1">
      <protection locked="0"/>
    </xf>
    <xf numFmtId="168" fontId="5" fillId="0" borderId="0" xfId="0" applyNumberFormat="1" applyFont="1" applyProtection="1">
      <protection locked="0"/>
    </xf>
    <xf numFmtId="0" fontId="56" fillId="0" borderId="0" xfId="0" applyFont="1" applyProtection="1">
      <protection locked="0"/>
    </xf>
    <xf numFmtId="170" fontId="0" fillId="0" borderId="0" xfId="1" applyFont="1"/>
    <xf numFmtId="167" fontId="0" fillId="0" borderId="0" xfId="0" applyNumberFormat="1"/>
    <xf numFmtId="182" fontId="8" fillId="0" borderId="35" xfId="13" applyNumberFormat="1" applyFont="1" applyFill="1" applyBorder="1" applyProtection="1">
      <protection locked="0"/>
    </xf>
    <xf numFmtId="176" fontId="53" fillId="15" borderId="0" xfId="1" applyNumberFormat="1" applyFont="1" applyFill="1"/>
    <xf numFmtId="0" fontId="15" fillId="0" borderId="0" xfId="13" applyNumberFormat="1" applyFont="1"/>
    <xf numFmtId="0" fontId="39" fillId="11" borderId="25" xfId="5" applyFont="1" applyFill="1" applyBorder="1"/>
    <xf numFmtId="3" fontId="6" fillId="14" borderId="21" xfId="5" applyNumberFormat="1" applyFont="1" applyFill="1" applyBorder="1"/>
    <xf numFmtId="0" fontId="1" fillId="0" borderId="0" xfId="5" applyFont="1"/>
    <xf numFmtId="171" fontId="2" fillId="0" borderId="20" xfId="5" applyNumberFormat="1" applyBorder="1"/>
    <xf numFmtId="171" fontId="6" fillId="10" borderId="21" xfId="5" applyNumberFormat="1" applyFont="1" applyFill="1" applyBorder="1"/>
    <xf numFmtId="171" fontId="6" fillId="14" borderId="21" xfId="5" applyNumberFormat="1" applyFont="1" applyFill="1" applyBorder="1"/>
    <xf numFmtId="182" fontId="2" fillId="0" borderId="0" xfId="13" applyNumberFormat="1" applyFont="1"/>
    <xf numFmtId="170" fontId="2" fillId="0" borderId="0" xfId="1" applyFont="1"/>
    <xf numFmtId="3" fontId="2" fillId="0" borderId="0" xfId="5" applyNumberFormat="1"/>
    <xf numFmtId="3" fontId="1" fillId="0" borderId="20" xfId="5" applyNumberFormat="1" applyFont="1" applyBorder="1"/>
    <xf numFmtId="3" fontId="6" fillId="0" borderId="2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2" xfId="0" quotePrefix="1" applyNumberFormat="1" applyFont="1" applyBorder="1" applyAlignment="1">
      <alignment horizontal="center"/>
    </xf>
    <xf numFmtId="14" fontId="0" fillId="15" borderId="0" xfId="0" applyNumberFormat="1" applyFill="1"/>
    <xf numFmtId="174" fontId="0" fillId="0" borderId="0" xfId="0" applyNumberFormat="1"/>
    <xf numFmtId="4" fontId="15" fillId="0" borderId="1" xfId="0" applyNumberFormat="1" applyFont="1" applyBorder="1" applyProtection="1">
      <protection locked="0"/>
    </xf>
    <xf numFmtId="3" fontId="0" fillId="0" borderId="1" xfId="0" applyNumberFormat="1" applyBorder="1"/>
    <xf numFmtId="182" fontId="0" fillId="0" borderId="1" xfId="13" applyNumberFormat="1" applyFont="1" applyBorder="1" applyAlignment="1" applyProtection="1"/>
    <xf numFmtId="168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82" fontId="4" fillId="0" borderId="1" xfId="13" applyNumberFormat="1" applyFont="1" applyBorder="1" applyAlignment="1" applyProtection="1">
      <alignment horizontal="center"/>
    </xf>
    <xf numFmtId="3" fontId="4" fillId="0" borderId="1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8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7" fontId="4" fillId="2" borderId="1" xfId="0" applyNumberFormat="1" applyFont="1" applyFill="1" applyBorder="1" applyAlignment="1">
      <alignment horizontal="center" wrapText="1"/>
    </xf>
    <xf numFmtId="182" fontId="4" fillId="2" borderId="1" xfId="13" applyNumberFormat="1" applyFont="1" applyFill="1" applyBorder="1" applyAlignment="1" applyProtection="1">
      <alignment horizontal="center" wrapText="1"/>
    </xf>
    <xf numFmtId="0" fontId="4" fillId="3" borderId="1" xfId="0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left" vertical="center"/>
    </xf>
    <xf numFmtId="168" fontId="0" fillId="4" borderId="1" xfId="0" applyNumberFormat="1" applyFill="1" applyBorder="1" applyAlignment="1" applyProtection="1">
      <alignment vertical="center"/>
      <protection locked="0"/>
    </xf>
    <xf numFmtId="182" fontId="0" fillId="4" borderId="1" xfId="13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4" fontId="4" fillId="0" borderId="1" xfId="0" applyNumberFormat="1" applyFont="1" applyBorder="1" applyAlignment="1" applyProtection="1">
      <alignment vertical="center"/>
      <protection locked="0"/>
    </xf>
    <xf numFmtId="182" fontId="4" fillId="0" borderId="1" xfId="13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4" fontId="0" fillId="0" borderId="1" xfId="0" applyNumberFormat="1" applyBorder="1" applyAlignment="1" applyProtection="1">
      <alignment vertical="center"/>
      <protection locked="0"/>
    </xf>
    <xf numFmtId="182" fontId="0" fillId="0" borderId="0" xfId="13" applyNumberFormat="1" applyFont="1" applyFill="1" applyAlignment="1">
      <alignment vertical="center"/>
    </xf>
    <xf numFmtId="0" fontId="14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4" fontId="16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6" fillId="0" borderId="1" xfId="0" quotePrefix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70" fontId="50" fillId="0" borderId="0" xfId="1" applyFont="1" applyFill="1" applyAlignment="1">
      <alignment vertical="center"/>
    </xf>
    <xf numFmtId="182" fontId="50" fillId="0" borderId="0" xfId="13" applyNumberFormat="1" applyFont="1" applyFill="1" applyAlignment="1">
      <alignment vertical="center"/>
    </xf>
    <xf numFmtId="182" fontId="15" fillId="0" borderId="0" xfId="0" applyNumberFormat="1" applyFont="1" applyAlignment="1">
      <alignment vertical="center"/>
    </xf>
    <xf numFmtId="0" fontId="15" fillId="0" borderId="0" xfId="13" applyNumberFormat="1" applyFont="1" applyFill="1" applyAlignment="1">
      <alignment vertical="center"/>
    </xf>
    <xf numFmtId="182" fontId="0" fillId="0" borderId="0" xfId="0" applyNumberFormat="1" applyAlignment="1">
      <alignment vertical="center"/>
    </xf>
    <xf numFmtId="182" fontId="15" fillId="0" borderId="0" xfId="13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4" fillId="0" borderId="1" xfId="2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4" fontId="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9" fontId="16" fillId="0" borderId="1" xfId="0" applyNumberFormat="1" applyFont="1" applyBorder="1" applyAlignment="1" applyProtection="1">
      <alignment vertical="center"/>
      <protection locked="0"/>
    </xf>
    <xf numFmtId="1" fontId="8" fillId="13" borderId="1" xfId="3" applyNumberFormat="1" applyFont="1" applyFill="1" applyBorder="1" applyAlignment="1">
      <alignment horizontal="center"/>
    </xf>
    <xf numFmtId="1" fontId="8" fillId="6" borderId="1" xfId="3" applyNumberFormat="1" applyFont="1" applyFill="1" applyBorder="1" applyAlignment="1">
      <alignment horizontal="center"/>
    </xf>
    <xf numFmtId="165" fontId="2" fillId="0" borderId="0" xfId="15" applyFont="1"/>
    <xf numFmtId="4" fontId="2" fillId="0" borderId="0" xfId="5" applyNumberFormat="1"/>
    <xf numFmtId="0" fontId="7" fillId="2" borderId="1" xfId="0" applyFont="1" applyFill="1" applyBorder="1" applyAlignment="1">
      <alignment horizontal="left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/>
    </xf>
    <xf numFmtId="168" fontId="8" fillId="4" borderId="1" xfId="0" applyNumberFormat="1" applyFont="1" applyFill="1" applyBorder="1" applyAlignment="1" applyProtection="1">
      <alignment vertical="center"/>
      <protection locked="0"/>
    </xf>
    <xf numFmtId="0" fontId="6" fillId="5" borderId="1" xfId="2" applyFont="1" applyFill="1" applyBorder="1" applyAlignment="1">
      <alignment vertical="center"/>
    </xf>
    <xf numFmtId="4" fontId="9" fillId="3" borderId="1" xfId="0" applyNumberFormat="1" applyFont="1" applyFill="1" applyBorder="1" applyAlignment="1" applyProtection="1">
      <alignment vertical="center"/>
      <protection locked="0"/>
    </xf>
    <xf numFmtId="0" fontId="8" fillId="5" borderId="1" xfId="2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horizontal="left" vertical="center"/>
    </xf>
    <xf numFmtId="4" fontId="13" fillId="3" borderId="1" xfId="0" applyNumberFormat="1" applyFont="1" applyFill="1" applyBorder="1" applyAlignment="1" applyProtection="1">
      <alignment vertical="center"/>
      <protection locked="0"/>
    </xf>
    <xf numFmtId="0" fontId="15" fillId="5" borderId="1" xfId="2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 applyProtection="1">
      <alignment vertical="center"/>
      <protection locked="0"/>
    </xf>
    <xf numFmtId="0" fontId="20" fillId="5" borderId="1" xfId="0" quotePrefix="1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12" fillId="5" borderId="1" xfId="2" applyFont="1" applyFill="1" applyBorder="1" applyAlignment="1">
      <alignment horizontal="left" vertical="center"/>
    </xf>
    <xf numFmtId="169" fontId="15" fillId="3" borderId="1" xfId="0" applyNumberFormat="1" applyFont="1" applyFill="1" applyBorder="1" applyAlignment="1" applyProtection="1">
      <alignment vertical="center"/>
      <protection locked="0"/>
    </xf>
    <xf numFmtId="183" fontId="0" fillId="0" borderId="0" xfId="15" applyNumberFormat="1" applyFont="1"/>
    <xf numFmtId="0" fontId="12" fillId="5" borderId="1" xfId="2" applyFont="1" applyFill="1" applyBorder="1" applyAlignment="1">
      <alignment vertical="center"/>
    </xf>
    <xf numFmtId="4" fontId="10" fillId="4" borderId="1" xfId="0" applyNumberFormat="1" applyFont="1" applyFill="1" applyBorder="1" applyAlignment="1" applyProtection="1">
      <alignment vertical="center"/>
      <protection locked="0"/>
    </xf>
    <xf numFmtId="0" fontId="12" fillId="7" borderId="1" xfId="2" applyFont="1" applyFill="1" applyBorder="1" applyAlignment="1">
      <alignment vertical="center"/>
    </xf>
    <xf numFmtId="4" fontId="9" fillId="7" borderId="1" xfId="0" applyNumberFormat="1" applyFont="1" applyFill="1" applyBorder="1" applyAlignment="1" applyProtection="1">
      <alignment vertical="center"/>
      <protection locked="0"/>
    </xf>
    <xf numFmtId="0" fontId="6" fillId="4" borderId="2" xfId="2" applyFont="1" applyFill="1" applyBorder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13" fillId="5" borderId="1" xfId="2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168" fontId="13" fillId="3" borderId="1" xfId="0" applyNumberFormat="1" applyFont="1" applyFill="1" applyBorder="1" applyAlignment="1" applyProtection="1">
      <alignment vertical="center"/>
      <protection locked="0"/>
    </xf>
    <xf numFmtId="170" fontId="13" fillId="3" borderId="1" xfId="1" applyFont="1" applyFill="1" applyBorder="1" applyAlignment="1" applyProtection="1">
      <alignment vertical="center"/>
      <protection locked="0"/>
    </xf>
    <xf numFmtId="0" fontId="20" fillId="5" borderId="1" xfId="2" applyFont="1" applyFill="1" applyBorder="1" applyAlignment="1">
      <alignment horizontal="left" vertical="center"/>
    </xf>
    <xf numFmtId="4" fontId="15" fillId="0" borderId="1" xfId="0" applyNumberFormat="1" applyFont="1" applyBorder="1" applyAlignment="1" applyProtection="1">
      <alignment vertical="center"/>
      <protection locked="0"/>
    </xf>
    <xf numFmtId="0" fontId="19" fillId="0" borderId="1" xfId="2" applyFont="1" applyBorder="1" applyAlignment="1" applyProtection="1">
      <alignment vertical="center" wrapText="1"/>
      <protection locked="0"/>
    </xf>
    <xf numFmtId="4" fontId="33" fillId="0" borderId="0" xfId="3" applyNumberFormat="1" applyFont="1"/>
    <xf numFmtId="170" fontId="50" fillId="0" borderId="0" xfId="16" applyFont="1"/>
    <xf numFmtId="182" fontId="0" fillId="6" borderId="0" xfId="17" applyNumberFormat="1" applyFont="1" applyFill="1"/>
    <xf numFmtId="4" fontId="15" fillId="0" borderId="1" xfId="0" applyNumberFormat="1" applyFont="1" applyBorder="1"/>
    <xf numFmtId="0" fontId="6" fillId="7" borderId="0" xfId="3" applyFont="1" applyFill="1" applyAlignment="1">
      <alignment vertical="center" wrapText="1"/>
    </xf>
    <xf numFmtId="171" fontId="2" fillId="0" borderId="0" xfId="5" applyNumberFormat="1"/>
    <xf numFmtId="3" fontId="6" fillId="0" borderId="2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68" fontId="7" fillId="2" borderId="1" xfId="0" applyNumberFormat="1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19" fillId="0" borderId="1" xfId="2" applyFont="1" applyBorder="1" applyAlignment="1" applyProtection="1">
      <alignment horizontal="left" wrapText="1"/>
      <protection locked="0"/>
    </xf>
    <xf numFmtId="0" fontId="6" fillId="4" borderId="2" xfId="2" applyFont="1" applyFill="1" applyBorder="1" applyAlignment="1">
      <alignment horizontal="center"/>
    </xf>
    <xf numFmtId="0" fontId="6" fillId="4" borderId="22" xfId="2" applyFont="1" applyFill="1" applyBorder="1" applyAlignment="1">
      <alignment horizontal="center"/>
    </xf>
    <xf numFmtId="3" fontId="6" fillId="0" borderId="2" xfId="0" quotePrefix="1" applyNumberFormat="1" applyFont="1" applyBorder="1" applyAlignment="1">
      <alignment horizontal="center"/>
    </xf>
    <xf numFmtId="3" fontId="6" fillId="0" borderId="22" xfId="0" quotePrefix="1" applyNumberFormat="1" applyFont="1" applyBorder="1" applyAlignment="1">
      <alignment horizontal="center"/>
    </xf>
    <xf numFmtId="3" fontId="6" fillId="0" borderId="3" xfId="0" quotePrefix="1" applyNumberFormat="1" applyFont="1" applyBorder="1" applyAlignment="1">
      <alignment horizontal="center"/>
    </xf>
    <xf numFmtId="0" fontId="6" fillId="0" borderId="0" xfId="3" applyFont="1" applyAlignment="1">
      <alignment horizontal="center" vertical="center" wrapText="1"/>
    </xf>
    <xf numFmtId="0" fontId="6" fillId="7" borderId="9" xfId="3" applyFont="1" applyFill="1" applyBorder="1" applyAlignment="1">
      <alignment horizontal="center" vertical="center" wrapText="1"/>
    </xf>
    <xf numFmtId="0" fontId="6" fillId="7" borderId="0" xfId="3" applyFont="1" applyFill="1" applyAlignment="1">
      <alignment horizontal="center" vertical="center" wrapText="1"/>
    </xf>
    <xf numFmtId="0" fontId="6" fillId="7" borderId="11" xfId="3" applyFont="1" applyFill="1" applyBorder="1" applyAlignment="1">
      <alignment horizontal="center" vertical="center" wrapText="1"/>
    </xf>
    <xf numFmtId="0" fontId="31" fillId="0" borderId="0" xfId="3" applyFont="1" applyAlignment="1">
      <alignment horizontal="left" wrapText="1"/>
    </xf>
  </cellXfs>
  <cellStyles count="18">
    <cellStyle name="Comma 3" xfId="9" xr:uid="{00000000-0005-0000-0000-000000000000}"/>
    <cellStyle name="Lien hypertexte" xfId="4" builtinId="8"/>
    <cellStyle name="Milliers" xfId="1" builtinId="3"/>
    <cellStyle name="Milliers [0]" xfId="15" builtinId="6"/>
    <cellStyle name="Milliers [0] 2" xfId="14" xr:uid="{00000000-0005-0000-0000-000004000000}"/>
    <cellStyle name="Milliers 2" xfId="8" xr:uid="{00000000-0005-0000-0000-000005000000}"/>
    <cellStyle name="Milliers 2 2" xfId="16" xr:uid="{00000000-0005-0000-0000-000006000000}"/>
    <cellStyle name="Normal" xfId="0" builtinId="0"/>
    <cellStyle name="Normal 2" xfId="2" xr:uid="{00000000-0005-0000-0000-000008000000}"/>
    <cellStyle name="Normal 2 2" xfId="11" xr:uid="{00000000-0005-0000-0000-000009000000}"/>
    <cellStyle name="Normal 2 2 2" xfId="5" xr:uid="{00000000-0005-0000-0000-00000A000000}"/>
    <cellStyle name="Normal 3" xfId="3" xr:uid="{00000000-0005-0000-0000-00000B000000}"/>
    <cellStyle name="Normal 3 2" xfId="6" xr:uid="{00000000-0005-0000-0000-00000C000000}"/>
    <cellStyle name="Normal 3 3" xfId="10" xr:uid="{00000000-0005-0000-0000-00000D000000}"/>
    <cellStyle name="Normal 4" xfId="7" xr:uid="{00000000-0005-0000-0000-00000E000000}"/>
    <cellStyle name="Normal 4 2" xfId="12" xr:uid="{00000000-0005-0000-0000-00000F000000}"/>
    <cellStyle name="Pourcentage" xfId="13" builtinId="5"/>
    <cellStyle name="Pourcentage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externalLink" Target="externalLinks/externalLink75.xml"/><Relationship Id="rId112" Type="http://schemas.openxmlformats.org/officeDocument/2006/relationships/calcChain" Target="calcChain.xml"/><Relationship Id="rId16" Type="http://schemas.openxmlformats.org/officeDocument/2006/relationships/externalLink" Target="externalLinks/externalLink2.xml"/><Relationship Id="rId107" Type="http://schemas.openxmlformats.org/officeDocument/2006/relationships/externalLink" Target="externalLinks/externalLink9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102" Type="http://schemas.openxmlformats.org/officeDocument/2006/relationships/externalLink" Target="externalLinks/externalLink8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6.xml"/><Relationship Id="rId95" Type="http://schemas.openxmlformats.org/officeDocument/2006/relationships/externalLink" Target="externalLinks/externalLink81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45.xml"/><Relationship Id="rId103" Type="http://schemas.openxmlformats.org/officeDocument/2006/relationships/externalLink" Target="externalLinks/externalLink89.xml"/><Relationship Id="rId108" Type="http://schemas.openxmlformats.org/officeDocument/2006/relationships/externalLink" Target="externalLinks/externalLink94.xml"/><Relationship Id="rId54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77.xml"/><Relationship Id="rId96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6" Type="http://schemas.openxmlformats.org/officeDocument/2006/relationships/externalLink" Target="externalLinks/externalLink9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0.xml"/><Relationship Id="rId99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109" Type="http://schemas.openxmlformats.org/officeDocument/2006/relationships/theme" Target="theme/theme1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97" Type="http://schemas.openxmlformats.org/officeDocument/2006/relationships/externalLink" Target="externalLinks/externalLink83.xml"/><Relationship Id="rId104" Type="http://schemas.openxmlformats.org/officeDocument/2006/relationships/externalLink" Target="externalLinks/externalLink9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92" Type="http://schemas.openxmlformats.org/officeDocument/2006/relationships/externalLink" Target="externalLinks/externalLink7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externalLink" Target="externalLinks/externalLink73.xml"/><Relationship Id="rId110" Type="http://schemas.openxmlformats.org/officeDocument/2006/relationships/styles" Target="styles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9" Type="http://schemas.openxmlformats.org/officeDocument/2006/relationships/externalLink" Target="externalLinks/externalLink5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42.xml"/><Relationship Id="rId77" Type="http://schemas.openxmlformats.org/officeDocument/2006/relationships/externalLink" Target="externalLinks/externalLink63.xml"/><Relationship Id="rId100" Type="http://schemas.openxmlformats.org/officeDocument/2006/relationships/externalLink" Target="externalLinks/externalLink86.xml"/><Relationship Id="rId105" Type="http://schemas.openxmlformats.org/officeDocument/2006/relationships/externalLink" Target="externalLinks/externalLink9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93" Type="http://schemas.openxmlformats.org/officeDocument/2006/relationships/externalLink" Target="externalLinks/externalLink79.xml"/><Relationship Id="rId98" Type="http://schemas.openxmlformats.org/officeDocument/2006/relationships/externalLink" Target="externalLinks/externalLink8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32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62" Type="http://schemas.openxmlformats.org/officeDocument/2006/relationships/externalLink" Target="externalLinks/externalLink48.xml"/><Relationship Id="rId83" Type="http://schemas.openxmlformats.org/officeDocument/2006/relationships/externalLink" Target="externalLinks/externalLink69.xml"/><Relationship Id="rId88" Type="http://schemas.openxmlformats.org/officeDocument/2006/relationships/externalLink" Target="externalLinks/externalLink74.xml"/><Relationship Id="rId11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K:/Documents%20and%20Settings/MAGAS/Bureau/DOCUME~1/pekue/LOCALS~1/Temp/R&#233;pertoire%20temporaire%202%20pour%20pib.zip/PRIHACO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nts%20and%20Settings/MAGAS/Bureau/DOCUME~1/pekue/LOCALS~1/Temp/R&#233;pertoire%20temporaire%202%20pour%20pib.zip/PRIHACO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WIN/TEMP/BOP9703_st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WIN/TEMP/BOP9703_stres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TEMP/My%20Documents/Moz/E-Final/BOP9703_stres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FPSGWN03P/AFR/TEMP/My%20Documents/Moz/E-Final/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Dista/My%20Documents/CFMP%202002-2010/CFMP%202004-2008/Projec&#231;&#245;es/CFMP%202004-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sDista/My%20Documents/CFMP%202002-2010/CFMP%202004-2008/Projec&#231;&#245;es/CFMP%202004-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MOZ/Briefing%20Paper/Briefing%20Paper/moz%20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OZ/Briefing%20Paper/Briefing%20Paper/moz%20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esktop/Tofe%20janvier-de&#769;cembre%202019%20version%20du%2014%20fevrier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Documents/Documents/TOFE/TOFE_ACB/TOFE%202021/Tofe%20janvier-de&#283;cembre%20202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Documents/Documents/TOFE/TOFE_ACB/TOFE%202021/Tofe%20janvier-de&#283;cembre%202021_31-01-22_int&#233;grant_FSIPP_SAR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Documents/Documents/TOFE/TOFE_ACB/TOFE%202022/Tofe%20janvier-de&#283;cembre%202022_AD_oct_2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TOFE/TOFE_ACB/TOFE%202023/Tofe_%202023_AD_juin_2023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TOFE/TOFE_ACB/TOFE%202023/Tofe_mars_%202023_AD_v_26-04-2023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Documents/Documents/TOFE/TOFE_ACB/TOFE%202021/Tofe%20janvier-de&#283;cembre%202021_31-01-2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TOFE/TOFE_ACB/TOFE%202023/Tofe_%202023_AD_fin_d&#233;cembre_2023_27_02_202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s/TOFE/TOFE_ACB/TOFE%202023/Tofe_%202023_AD_sept_2023-revu%20(3)%20(7)%20(2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dossier%20DG/DG%202020/TOFE%202020/Tofe%20janvier-de&#283;cembre%202020%20VF%2021%20FEV%20202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Cameroon/DSA/Cam_Relie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Cameroon/DSA/Cam_Relief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WINDOWS/TEMP/Cam_IDAassi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WINDOWS/TEMP/Cam_IDAassi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bByiers/My%20Documents/Or&#231;amento/OE%202004/Trimestraliza&#231;&#227;o/Trimestraliza&#231;&#227;o16_12_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bByiers/My%20Documents/Or&#231;amento/OE%202004/Trimestraliza&#231;&#227;o/Trimestraliza&#231;&#227;o16_12_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ersonnel/Dossier%20CEDEAO/Programme%20financier_DPC_20_01_10_utilis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Personnel/Dossier%20CEDEAO/Programme%20financier_DPC_20_01_10_utilis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ersonnel/Dossier%20CEDEAO/ECOMAC_Phase%202/Pr&#233;sentation_2/DPC/BENIN_Prorammation%20Financi&#232;re_PPC%202010-2014_Version%2018%20novembre%202009_18h30.xls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ass/Documents/E:/Users/mass/Desktop/TOFE%20DE%20JANVIER%20A%20DECEMBRE%202019/DGD/C:/Personnel/Dossier%20CEDEAO/ECOMAC_Phase%202/Pr&#233;sentation_2/DPC/BENIN_Prorammation%20Financi&#232;re_PPC%202010-2014_Version%2018%20novembre%202009_18h30.xls?7C16561A" TargetMode="External"/><Relationship Id="rId1" Type="http://schemas.openxmlformats.org/officeDocument/2006/relationships/externalLinkPath" Target="file:///7C16561A/BENIN_Prorammation%20Financi&#232;re_PPC%202010-2014_Version%2018%20novembre%202009_18h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bByiers/My%20Documents/CFMP/Quadromacro/Quadro%20Macroeconomico--Versao%2016%20Junho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bByiers/My%20Documents/CFMP/Quadromacro/Quadro%20Macroeconomico--Versao%2016%20Junho%20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DATA/SEN/Bopfiles/SNBOPla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DATA/SEN/Bopfiles/SNBOPla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nts%20and%20Settings/MAGAS/Bureau/Documents%20and%20Settings/Administrateur/Mes%20documents/ALOFA%2001/Cnpe/BASES/WINDOWS/TEMP/Mes%20Documents/ALOFA/MosarePauvre/Modelisation/mosare%20V3.7%20Pauvret&#233;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A:/ATRAVAUX/Etudes/ETUD1/DOSENER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ATRAVAUX/Etudes/ETUD1/DOSEN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nts%20and%20Settings/MAGAS/Bureau/Documents%20and%20Settings/Administrateur/Mes%20documents/ALOFA%2001/Cnpe/BASES/WINDOWS/TEMP/fantos/Fantodji/Nouveau%20dossier/mag/Mosare/mosare%20tout%20dernie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bByiers/My%20Documents/Or&#231;amento/OE%202003/Trimestraliza&#231;&#227;o/Abril%202003/PlanoTesourariaTrimestral.2003_26Junh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bByiers/My%20Documents/Or&#231;amento/OE%202003/Trimestraliza&#231;&#227;o/Abril%202003/PlanoTesourariaTrimestral.2003_26Junh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Dista/My%20Documents/ORCAMENTO/2003/PARPA/Despesas%20nos%20Sectores%20Priritarios%20do%20PARPA_1999-2003%20(23.04.2003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sDista/My%20Documents/ORCAMENTO/2003/PARPA/Despesas%20nos%20Sectores%20Priritarios%20do%20PARPA_1999-2003%20(23.04.2003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Investimento2002%20Revisa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Fs_dnpo/g/Maquina%20Dr%20Sulemane/Documentos%20Varios/My%20Documents/Orcamento%202002/OE-Investimento2002%20Revisa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OE2003/Tabelas%20Globais/Orcamento%20do%20Estado%20para%202003%20vesao%20de%2030%20Setembro%20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OE2003/Tabelas%20Globais/Orcamento%20do%20Estado%20para%202003%20vesao%20de%2030%20Setembro%20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NPO/Planifica&#231;&#227;o%20&amp;%20Or&#231;amenta&#231;&#227;o/OE/2002/Prepara&#231;&#227;o%20da%20Miss&#227;o%20IMF/AnexosLeiO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NPO/Planifica&#231;&#227;o%20&amp;%20Or&#231;amenta&#231;&#227;o/OE/2002/Prepara&#231;&#227;o%20da%20Miss&#227;o%20IMF/AnexosLeiO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Maquina%20Dr%20Sulemane/Documentos%20Varios/My%20Documents/Orcamento%202002/OE-Corrente2001%20Revisa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Fs_dnpo/g/Maquina%20Dr%20Sulemane/Documentos%20Varios/My%20Documents/Orcamento%202002/OE-Corrente2001%20Revisa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ATA/BEN/CURRENT/bjinte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ATA/BEN/CURRENT/bjinteg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DRAFTS/CS/RG/2000/Mozambique/SR_RED_BOP_Tabl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DRAFTS/CS/RG/2000/Mozambique/SR_RED_BOP_Tab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nsheridan/Local%20Settings/Temporary%20Internet%20Files/OLK22/502ZambiaFiles%20-%20Tables%204-2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nsheridan/Local%20Settings/Temporary%20Internet%20Files/OLK22/502ZambiaFiles%20-%20Tables%204-28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BCLEMENTS/Local%20Settings/Temporary%20Internet%20Files/OLK5/External%20DSA%20Template_country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BCLEMENTS/Local%20Settings/Temporary%20Internet%20Files/OLK5/External%20DSA%20Template_countr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es%20Documents/ALOFA/MosarePauvre/Modelisation/mosare%20V3.7%20Pauvret&#233;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Mes%20Documents/ALOFA/MosarePauvre/Modelisation/mosare%20V3.7%20Pauvret&#233;0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Users/DOUEU/Desktop/cnpe%20avril%202013/COTE%20D'IVOIRE_Table_Passage_PIB_Prix_fr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OUEU/Desktop/cnpe%20avril%202013/COTE%20D'IVOIRE_Table_Passage_PIB_Prix_fr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esktop/TOFES/TOFE%20DE%20JANVIER%20A%20DECEMBRE%202019/DETTE%20EXTE/E:/Applications/Microsoft%20Excel.app/C:/Users/PRO/Desktop/TOFE%20A%20FIN%20JUIN%202014_SFP%202001/USB%20DISKBudget/bud96_2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mass/Desktop/TOFES/TOFE%20DE%20JANVIER%20A%20DECEMBRE%202019/DETTE%20EXTE/E:/Applications/Microsoft%20Excel.app/C:/Users/PRO/Desktop/TOFE%20A%20FIN%20JUIN%202014_SFP%202001/USB%20DISKBudget/bud96_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nts%20and%20Settings/MAGAS/Bureau/Documents%20and%20Settings/DOMINGO/Mes%20documents/CNPE/Rapport%202%20&#232;me%20trimestre%202006/Programmation%20Financi&#232;re%202006-2008%2023%20Novembre%202005%20MODIFIE_PNU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A:/Indicateur%20Conj/TREI/INDICES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Indicateur%20Conj/TREI/INDICES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AFR/Users/AManoel/My%20Documents/Mozambique%20AFR/Missions/2004%20Feb%20mission%20New%20Prog/Brief/moz%20macroframework%20Brief%20Feb20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FPSGWN03P/AFR/Users/AManoel/My%20Documents/Mozambique%20AFR/Missions/2004%20Feb%20mission%20New%20Prog/Brief/moz%20macroframework%20Brief%20Feb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nts%20and%20Settings/MAGAS/Bureau/agbeciephrem/PPC%20actu%202003/Programmation%20Financi&#232;re%202005-20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K:/Documents%20and%20Settings/MAGAS/Bureau/agbeciephrem/PPC%20actu%202003/Programmation%20Financi&#232;re%202005-2007.xls" TargetMode="External"/></Relationships>
</file>

<file path=xl/externalLinks/_rels/externalLink7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/Users/mass/Desktop/TOFES/TOFE%20DE%20JANVIER%20A%20DECEMBRE%202019/DETTE%20EXTE/E:/Applications/Microsoft%20Excel.app/C:/Users/PRO/Desktop/TOFE%20A%20FIN%20JUIN%202014_SFP%202001/USB%20DISKDocuments%20and%20Settings/k/Mes%20documents/TOFE/Suivipas/Tof-mens/Tofeavril02.xls?0AA1D354" TargetMode="External"/><Relationship Id="rId1" Type="http://schemas.openxmlformats.org/officeDocument/2006/relationships/externalLinkPath" Target="file:///0AA1D354/Tofeavril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nts%20and%20Settings/MAGAS/Bureau/DOCUME~1/pekue/LOCALS~1/Temp/R&#233;pertoire%20temporaire%204%20pour%20HYPOT_PIB.zip/PIB/Pib20001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K:/Documents%20and%20Settings/MAGAS/Bureau/DOCUME~1/pekue/LOCALS~1/Temp/R&#233;pertoire%20temporaire%204%20pour%20HYPOT_PIB.zip/PIB/Pib20001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Documents%20and%20Settings/MAGAS/Bureau/BASE%20DE%20DONNES/Taben%20Global%20&#224;%20fin%20juin%202005/Indice%20des%20prix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K:/Documents%20and%20Settings/MAGAS/Bureau/BASE%20DE%20DONNES/Taben%20Global%20&#224;%20fin%20juin%202005/Indice%20des%20prix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Fs_dnpo/g/Program%20Files/OrcamentoAno2001/Altera%20OI2001/OIGesta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Fs_dnpo/g/Program%20Files/OrcamentoAno2001/Altera%20OI2001/OIGestao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ocuments%20and%20Settings/bByiers/My%20Documents/Quadromacro/Quadro%20Macroeconomico--Versao%2029%20Setembro%20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bByiers/My%20Documents/Quadromacro/Quadro%20Macroeconomico--Versao%2029%20Setembro%2020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DATA/BOP9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DATA/BOP970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fantos/Fantodji/Nouveau%20dossier/mag/Mosare/mosare%20tout%20dernier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fantos/Fantodji/Nouveau%20dossier/mag/Mosare/mosare%20tout%20dernier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DATA/SO/ESAF/HIPC_COMP_PT/Tanzania%20Draft1%20to%20final%20D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DATA/SO/ESAF/HIPC_COMP_PT/Tanzania%20Draft1%20to%20final%20DP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y%20Documents/execucao2002/FMI_ME/Quadro%20Macroeconomico--Versao%20Maio%202002-Execu&#231;ao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My%20Documents/execucao2002/FMI_ME/Quadro%20Macroeconomico--Versao%20Maio%202002-Execu&#231;ao20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ATA/Base/BASEX92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C:/DATA/Base/BASEX92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DATA/Enhanced%20Table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ss/Documents/E:/Users/mass/Desktop/TOFE%20DE%20JANVIER%20A%20DECEMBRE%202019/DGD/O:/DATA/Enhanced%20Tables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Downloads/donn&#233;es%20fin%20decem%20bre21%20v3.3.22_DEES_v040322%20(1)%20(1)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OFE%202021/dvers/mandat%20avril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_moy_me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P"/>
      <sheetName val="ind_mens"/>
      <sheetName val="ind_moy"/>
      <sheetName val="pri_moy_mens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10">
          <cell r="AK10">
            <v>322.09735269263342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F3">
            <v>159365593.86950809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Macro"/>
      <sheetName val="Resumo_Âmbito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 shee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LIS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ER"/>
      <sheetName val="Tirages ress ext"/>
      <sheetName val="EMISS° TIT PUB"/>
      <sheetName val="EMISS°_REMBTS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ASSISTEXTER "/>
      <sheetName val="DGID"/>
      <sheetName val="TRESOR"/>
      <sheetName val="DGD"/>
      <sheetName val="Feuil1"/>
      <sheetName val="TOFE"/>
      <sheetName val="CODE LIST"/>
      <sheetName val="SO_APU"/>
      <sheetName val="Tr A N F"/>
      <sheetName val="Tr A F"/>
      <sheetName val="PASSAGE_BIS"/>
      <sheetName val="fmi"/>
      <sheetName val="CHARGES_APU"/>
      <sheetName val="RECETTES_APU"/>
      <sheetName val="TOFE_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>
        <row r="28">
          <cell r="Q28">
            <v>86.507755307000011</v>
          </cell>
        </row>
        <row r="34">
          <cell r="Q34">
            <v>0</v>
          </cell>
        </row>
        <row r="35">
          <cell r="Q35">
            <v>0</v>
          </cell>
        </row>
        <row r="39">
          <cell r="Q39">
            <v>0</v>
          </cell>
        </row>
        <row r="42">
          <cell r="Q42">
            <v>0</v>
          </cell>
        </row>
        <row r="47">
          <cell r="Q47">
            <v>0</v>
          </cell>
        </row>
        <row r="48">
          <cell r="Q48">
            <v>0</v>
          </cell>
        </row>
        <row r="59">
          <cell r="Q59">
            <v>0</v>
          </cell>
        </row>
        <row r="60">
          <cell r="Q60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ER"/>
      <sheetName val="Tirages ress ext"/>
      <sheetName val="EMISS° TIT PUB"/>
      <sheetName val="EMISS°_REMBTS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ASSISTEXTER "/>
      <sheetName val="DGID"/>
      <sheetName val="TRESOR"/>
      <sheetName val="DGD"/>
      <sheetName val="Feuil1"/>
      <sheetName val="TOFE"/>
      <sheetName val="CODE LIST"/>
      <sheetName val="SO_APU"/>
      <sheetName val="Tr A N F"/>
      <sheetName val="Tr A F"/>
      <sheetName val="PASSAGE_BIS"/>
      <sheetName val="fmi"/>
      <sheetName val="CHARGES_APU"/>
      <sheetName val="RECETTES_APU"/>
    </sheetNames>
    <sheetDataSet>
      <sheetData sheetId="0"/>
      <sheetData sheetId="1"/>
      <sheetData sheetId="2"/>
      <sheetData sheetId="3">
        <row r="15">
          <cell r="L15">
            <v>6846670542.1111116</v>
          </cell>
        </row>
        <row r="21">
          <cell r="M21">
            <v>43474456725.148254</v>
          </cell>
          <cell r="N21">
            <v>629827844314.55554</v>
          </cell>
        </row>
      </sheetData>
      <sheetData sheetId="4"/>
      <sheetData sheetId="5"/>
      <sheetData sheetId="6">
        <row r="5">
          <cell r="M5">
            <v>-6259351466</v>
          </cell>
          <cell r="N5">
            <v>9870648534</v>
          </cell>
        </row>
        <row r="6">
          <cell r="M6">
            <v>-39076996</v>
          </cell>
          <cell r="N6">
            <v>20926801755</v>
          </cell>
        </row>
      </sheetData>
      <sheetData sheetId="7"/>
      <sheetData sheetId="8">
        <row r="22">
          <cell r="N22">
            <v>14286376847</v>
          </cell>
          <cell r="O22">
            <v>88094133571.625</v>
          </cell>
        </row>
      </sheetData>
      <sheetData sheetId="9"/>
      <sheetData sheetId="10">
        <row r="31">
          <cell r="M31">
            <v>7211889625</v>
          </cell>
          <cell r="N31">
            <v>218436204619.1109</v>
          </cell>
        </row>
      </sheetData>
      <sheetData sheetId="11">
        <row r="224">
          <cell r="N224">
            <v>94570345247</v>
          </cell>
          <cell r="O224">
            <v>2076258568319</v>
          </cell>
        </row>
      </sheetData>
      <sheetData sheetId="12"/>
      <sheetData sheetId="13"/>
      <sheetData sheetId="14">
        <row r="47">
          <cell r="N47">
            <v>73127085664.050003</v>
          </cell>
          <cell r="O47">
            <v>898676089304.05005</v>
          </cell>
        </row>
      </sheetData>
      <sheetData sheetId="15"/>
      <sheetData sheetId="16">
        <row r="23">
          <cell r="M23">
            <v>3935742000</v>
          </cell>
        </row>
      </sheetData>
      <sheetData sheetId="17">
        <row r="1">
          <cell r="P1">
            <v>1669099035186.45</v>
          </cell>
        </row>
        <row r="108">
          <cell r="N108">
            <v>112952367483.45001</v>
          </cell>
        </row>
      </sheetData>
      <sheetData sheetId="18">
        <row r="15">
          <cell r="M15">
            <v>6519960812</v>
          </cell>
          <cell r="O15">
            <v>214049314168</v>
          </cell>
        </row>
      </sheetData>
      <sheetData sheetId="19">
        <row r="40">
          <cell r="M40">
            <v>91130000000</v>
          </cell>
          <cell r="O40">
            <v>964720000000</v>
          </cell>
        </row>
      </sheetData>
      <sheetData sheetId="20"/>
      <sheetData sheetId="2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1">
          <cell r="O11">
            <v>33062512137.099998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ER"/>
      <sheetName val="Tirages ress ext"/>
      <sheetName val="EMISS° TIT PUB"/>
      <sheetName val="EMISS°_REMBTS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ASSISTEXTER "/>
      <sheetName val="DGID"/>
      <sheetName val="TRESOR"/>
      <sheetName val="DGD"/>
      <sheetName val="Feuil1"/>
      <sheetName val="TOFE"/>
      <sheetName val="CODE LIST"/>
      <sheetName val="SO_APU"/>
      <sheetName val="Tr A N F"/>
      <sheetName val="Tr A F"/>
      <sheetName val="PASSAGE_BIS"/>
      <sheetName val="fmi"/>
      <sheetName val="CHARGES_APU"/>
      <sheetName val="RECETTES_APU"/>
    </sheetNames>
    <sheetDataSet>
      <sheetData sheetId="0" refreshError="1"/>
      <sheetData sheetId="1" refreshError="1"/>
      <sheetData sheetId="2" refreshError="1"/>
      <sheetData sheetId="3">
        <row r="15">
          <cell r="N15">
            <v>126222222222.28888</v>
          </cell>
        </row>
        <row r="16">
          <cell r="N16">
            <v>372800000000.10834</v>
          </cell>
        </row>
        <row r="21">
          <cell r="M21">
            <v>0</v>
          </cell>
          <cell r="N21">
            <v>499022222222.39722</v>
          </cell>
        </row>
      </sheetData>
      <sheetData sheetId="4" refreshError="1"/>
      <sheetData sheetId="5" refreshError="1"/>
      <sheetData sheetId="6">
        <row r="5">
          <cell r="N5">
            <v>19706280298</v>
          </cell>
        </row>
        <row r="6">
          <cell r="N6">
            <v>28606485500</v>
          </cell>
        </row>
        <row r="10">
          <cell r="N10">
            <v>48312765798</v>
          </cell>
        </row>
      </sheetData>
      <sheetData sheetId="7" refreshError="1"/>
      <sheetData sheetId="8">
        <row r="22">
          <cell r="N22">
            <v>0</v>
          </cell>
          <cell r="O22">
            <v>85230043575.125015</v>
          </cell>
        </row>
      </sheetData>
      <sheetData sheetId="9" refreshError="1"/>
      <sheetData sheetId="10">
        <row r="31">
          <cell r="M31">
            <v>0</v>
          </cell>
          <cell r="N31">
            <v>239151439070.06381</v>
          </cell>
        </row>
      </sheetData>
      <sheetData sheetId="11">
        <row r="227">
          <cell r="N227">
            <v>0</v>
          </cell>
          <cell r="O227">
            <v>2059899156883</v>
          </cell>
        </row>
      </sheetData>
      <sheetData sheetId="12" refreshError="1"/>
      <sheetData sheetId="13" refreshError="1"/>
      <sheetData sheetId="14">
        <row r="47">
          <cell r="N47">
            <v>0</v>
          </cell>
          <cell r="O47">
            <v>912548475256</v>
          </cell>
        </row>
      </sheetData>
      <sheetData sheetId="15" refreshError="1"/>
      <sheetData sheetId="16">
        <row r="23">
          <cell r="O23">
            <v>5391500000</v>
          </cell>
        </row>
      </sheetData>
      <sheetData sheetId="17">
        <row r="1">
          <cell r="P1">
            <v>1710123883552.1233</v>
          </cell>
        </row>
        <row r="108">
          <cell r="P108">
            <v>1710123883552.1233</v>
          </cell>
        </row>
      </sheetData>
      <sheetData sheetId="18">
        <row r="15">
          <cell r="O15">
            <v>117558760410</v>
          </cell>
        </row>
      </sheetData>
      <sheetData sheetId="19">
        <row r="40">
          <cell r="O40">
            <v>835170000000</v>
          </cell>
        </row>
      </sheetData>
      <sheetData sheetId="20" refreshError="1"/>
      <sheetData sheetId="21" refreshError="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ER"/>
      <sheetName val="Tirages ress ext"/>
      <sheetName val="EMISS° TIT PUB"/>
      <sheetName val="EMISS°_REMBTS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DGD"/>
      <sheetName val="ASSISTEXTER "/>
      <sheetName val="DGID"/>
      <sheetName val="TRESOR"/>
      <sheetName val="Feuil1"/>
      <sheetName val="TOFE"/>
      <sheetName val="CODE LIST"/>
      <sheetName val="SO_APU"/>
      <sheetName val="Tr A N F"/>
      <sheetName val="Tr A F"/>
      <sheetName val="PASSAGE_BIS"/>
      <sheetName val="fmi"/>
      <sheetName val="CHARGES_APU"/>
      <sheetName val="RECETTES_A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ER"/>
      <sheetName val="Tirages ress ext"/>
      <sheetName val="EMISS° TIT PUB"/>
      <sheetName val="EMISS°_REMBTS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ASSISTEXTER "/>
      <sheetName val="DGID"/>
      <sheetName val="TRESOR"/>
      <sheetName val="DGD"/>
      <sheetName val="Feuil1"/>
      <sheetName val="TOFE"/>
      <sheetName val="CODE LIST"/>
      <sheetName val="SO_APU"/>
      <sheetName val="Tr A N F"/>
      <sheetName val="Tr A F"/>
      <sheetName val="PASSAGE_BIS"/>
      <sheetName val="fmi"/>
      <sheetName val="CHARGES_APU"/>
      <sheetName val="RECETTES_A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ER"/>
      <sheetName val="Tirages ress ext"/>
      <sheetName val="EMISS° TIT PUB"/>
      <sheetName val="EMISS°_REMBTS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ASSISTEXTER "/>
      <sheetName val="DGID"/>
      <sheetName val="TRESOR"/>
      <sheetName val="DGD"/>
      <sheetName val="Feuil1"/>
      <sheetName val="TOFE"/>
      <sheetName val="CODE LIST"/>
      <sheetName val="SO_APU"/>
      <sheetName val="Tr A N F"/>
      <sheetName val="Tr A F"/>
      <sheetName val="PASSAGE_BIS"/>
      <sheetName val="fmi"/>
      <sheetName val="CHARGES_APU"/>
      <sheetName val="RECETTES_AP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"/>
      <sheetName val="EMISS° TIT PUB"/>
      <sheetName val="EMISS°_REMBTS"/>
      <sheetName val="TIRAGES RESS EXTER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ASSISTEXTER "/>
      <sheetName val="DGID"/>
      <sheetName val="DGD"/>
      <sheetName val="TRESOR"/>
      <sheetName val="Feuil1"/>
      <sheetName val="TOFE"/>
      <sheetName val="CODE LIST"/>
      <sheetName val="Tr A N F"/>
      <sheetName val="PASSAGE_BIS"/>
      <sheetName val="SO_APU"/>
      <sheetName val="Tr A F"/>
      <sheetName val="fmi"/>
      <sheetName val="CHARGES_APU"/>
      <sheetName val="RECETTES_A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_APU (2)"/>
      <sheetName val="Cover page"/>
      <sheetName val="Tirages ress ext"/>
      <sheetName val="EMISS° TIT PUB"/>
      <sheetName val="EMISS°_REMBTS"/>
      <sheetName val="TIRAGES RESS EXTER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ASSISTEXTER "/>
      <sheetName val="DGID"/>
      <sheetName val="DGD"/>
      <sheetName val="TRESOR"/>
      <sheetName val="Feuil1"/>
      <sheetName val="TOFE"/>
      <sheetName val="CODE LIST"/>
      <sheetName val="Tr A N F"/>
      <sheetName val="SO_APU"/>
      <sheetName val="Tr A F"/>
      <sheetName val="PASSAGE_BIS"/>
      <sheetName val="fmi"/>
      <sheetName val="CHARGES_APU"/>
      <sheetName val="RECETTES_A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IRAGES RESS EXTER"/>
      <sheetName val="ASSISTEXTER "/>
      <sheetName val="Tirages ress ext"/>
      <sheetName val="EMISS° TIT PUB"/>
      <sheetName val="EMISS°_REMBTS"/>
      <sheetName val="REGUL EN INSTANCE &amp; AJUSTEMENTS"/>
      <sheetName val="DETTE INTERI(PRINCIPAL)"/>
      <sheetName val="INTERET_INTERIEUR"/>
      <sheetName val="DETTE EXT(PRINCIPAL)"/>
      <sheetName val="INTERET_EXTERIEUR"/>
      <sheetName val="SIGFIP(y compr régul°)"/>
      <sheetName val="CORRESPDTS "/>
      <sheetName val="CST"/>
      <sheetName val="DEVERS"/>
      <sheetName val="DEPÔTS ET BILLETS"/>
      <sheetName val="DGID"/>
      <sheetName val="TRESOR"/>
      <sheetName val="DGD"/>
      <sheetName val="Feuil1"/>
      <sheetName val="TOFE"/>
      <sheetName val="CODE LIST"/>
      <sheetName val="SO_APU"/>
      <sheetName val="Tr A N F"/>
      <sheetName val="Tr A F"/>
      <sheetName val="PASSAGE_BIS"/>
      <sheetName val="fmi"/>
      <sheetName val="CHARGES_APU"/>
      <sheetName val="RECETTES_A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M3" t="str">
            <v xml:space="preserve">A1:  RECETTES </v>
          </cell>
        </row>
        <row r="4">
          <cell r="M4" t="str">
            <v xml:space="preserve">A11:  Recettes fiscales </v>
          </cell>
        </row>
        <row r="5">
          <cell r="M5" t="str">
            <v xml:space="preserve">A111:  Impôts sur le revenu, les bénéfices et les gains en capital </v>
          </cell>
        </row>
        <row r="6">
          <cell r="M6" t="str">
            <v xml:space="preserve">A1111:  Impôts sur le revenu: personnes physiques``  </v>
          </cell>
        </row>
        <row r="7">
          <cell r="M7" t="str">
            <v xml:space="preserve">A1112:  Impôts sur le revenu:: sociétés et autres entreprises </v>
          </cell>
        </row>
        <row r="8">
          <cell r="M8" t="str">
            <v xml:space="preserve">A1113:  Impôts sur le revenu:: Non ventilables </v>
          </cell>
        </row>
        <row r="9">
          <cell r="M9" t="str">
            <v xml:space="preserve">A112:  Impôts sur les salaires et la main-d'oeuvre </v>
          </cell>
        </row>
        <row r="10">
          <cell r="M10" t="str">
            <v xml:space="preserve">A113:  Impôts sur le patrimoine </v>
          </cell>
        </row>
        <row r="11">
          <cell r="M11" t="str">
            <v xml:space="preserve">A1131:  Impôts périodiques sur la propriété immobilière </v>
          </cell>
        </row>
        <row r="12">
          <cell r="M12" t="str">
            <v xml:space="preserve">A1132:  Impôts périodiques sur le patrimoine net </v>
          </cell>
        </row>
        <row r="13">
          <cell r="M13" t="str">
            <v xml:space="preserve">A1133:  Impôts sur les mutations par décès, les successions, les donations entre vifs et les legs </v>
          </cell>
        </row>
        <row r="14">
          <cell r="M14" t="str">
            <v xml:space="preserve">A1134:  Impôts sur les transactions financières et en capital </v>
          </cell>
        </row>
        <row r="15">
          <cell r="M15" t="str">
            <v xml:space="preserve">A1135:  Autres impôts non périodiques sur le patrimoine </v>
          </cell>
        </row>
        <row r="16">
          <cell r="M16" t="str">
            <v xml:space="preserve">A1136:  Autres impôts périodiques sur le patrimoine </v>
          </cell>
        </row>
        <row r="17">
          <cell r="M17" t="str">
            <v xml:space="preserve">A114:  Impôts sur les biens et services </v>
          </cell>
        </row>
        <row r="18">
          <cell r="M18" t="str">
            <v xml:space="preserve">A1141:  Impôts généraux sur les biens et services </v>
          </cell>
        </row>
        <row r="19">
          <cell r="M19" t="str">
            <v xml:space="preserve">A11411:  Impôts sur la valeur ajoutée </v>
          </cell>
        </row>
        <row r="20">
          <cell r="M20" t="str">
            <v xml:space="preserve">A11412:  Impôts sur la vente </v>
          </cell>
        </row>
        <row r="21">
          <cell r="M21" t="str">
            <v xml:space="preserve">A11413:  Iimpôts sur le chiffre d'affaires et autres impôts généraux sur les biens et services </v>
          </cell>
        </row>
        <row r="22">
          <cell r="M22" t="str">
            <v xml:space="preserve">A1142:  Accises </v>
          </cell>
        </row>
        <row r="23">
          <cell r="M23" t="str">
            <v xml:space="preserve">A1143:  Bénéfices des monopoles fiscaux </v>
          </cell>
        </row>
        <row r="24">
          <cell r="M24" t="str">
            <v>A1144:  Taxes sur des services déterminés</v>
          </cell>
        </row>
        <row r="25">
          <cell r="M25" t="str">
            <v xml:space="preserve">A1145:  Taxes sur l'utilisation ou la permission d'utiliser des biens ou d'exercer des activités </v>
          </cell>
        </row>
        <row r="26">
          <cell r="M26" t="str">
            <v xml:space="preserve">A11451:  Taxes sur les véhicules à moteur </v>
          </cell>
        </row>
        <row r="27">
          <cell r="M27" t="str">
            <v xml:space="preserve">A11452:  Autres impôts sur les biens et services </v>
          </cell>
        </row>
        <row r="28">
          <cell r="M28" t="str">
            <v xml:space="preserve">A1146:  Autres impôts sur les biens et services </v>
          </cell>
        </row>
        <row r="29">
          <cell r="M29" t="str">
            <v xml:space="preserve">A115:  Impôts sur le commerce extérieur et les transactions internationales </v>
          </cell>
        </row>
        <row r="30">
          <cell r="M30" t="str">
            <v xml:space="preserve">A1151:  Droits de douane et autres droits à l'importation </v>
          </cell>
        </row>
        <row r="31">
          <cell r="M31" t="str">
            <v>A1152:  Taxes à l'exportation</v>
          </cell>
        </row>
        <row r="32">
          <cell r="M32" t="str">
            <v xml:space="preserve">A1153:  Bénéfices des monopoles d'exportation ou d'importation </v>
          </cell>
        </row>
        <row r="33">
          <cell r="M33" t="str">
            <v>A1154:  Bénéfices de change</v>
          </cell>
        </row>
        <row r="34">
          <cell r="M34" t="str">
            <v>A1155:  Taxes sur les opérations de change</v>
          </cell>
        </row>
        <row r="35">
          <cell r="M35" t="str">
            <v xml:space="preserve">A1156:  Autres impôts sur le commerce extérieur et les transactions internationales </v>
          </cell>
        </row>
        <row r="36">
          <cell r="M36" t="str">
            <v xml:space="preserve">A116:  Autres recettes fiscales </v>
          </cell>
        </row>
        <row r="37">
          <cell r="M37" t="str">
            <v xml:space="preserve">A12:  Cotisations sociales </v>
          </cell>
        </row>
        <row r="38">
          <cell r="M38" t="str">
            <v xml:space="preserve">A121:  Cotisations de sécurité sociale </v>
          </cell>
        </row>
        <row r="39">
          <cell r="M39" t="str">
            <v>A1211:  A la charge des salariés</v>
          </cell>
        </row>
        <row r="40">
          <cell r="M40" t="str">
            <v>A1212:  A la charge des employeurs</v>
          </cell>
        </row>
        <row r="41">
          <cell r="M41" t="str">
            <v xml:space="preserve">A1213:  A la charge des travailleurs indépendants ou des personnes sans emploi </v>
          </cell>
        </row>
        <row r="42">
          <cell r="M42" t="str">
            <v xml:space="preserve">A1214:  Non ventilables </v>
          </cell>
        </row>
        <row r="43">
          <cell r="M43" t="str">
            <v xml:space="preserve">A122:  Autres cotisations sociales </v>
          </cell>
        </row>
        <row r="44">
          <cell r="M44" t="str">
            <v xml:space="preserve">A1221:  A la chargé des salariés </v>
          </cell>
        </row>
        <row r="45">
          <cell r="M45" t="str">
            <v>A1222:  A la charge des employeurs</v>
          </cell>
        </row>
        <row r="46">
          <cell r="M46" t="str">
            <v xml:space="preserve">A1223:  Imputées </v>
          </cell>
        </row>
        <row r="47">
          <cell r="M47" t="str">
            <v xml:space="preserve">A13:  Dons </v>
          </cell>
        </row>
        <row r="48">
          <cell r="M48" t="str">
            <v xml:space="preserve">A131:  Dons reçus d'administrations publiques étrangères </v>
          </cell>
        </row>
        <row r="49">
          <cell r="M49" t="str">
            <v xml:space="preserve">A1311:  Dons courants reçus d'administrations publiques étrangères </v>
          </cell>
        </row>
        <row r="50">
          <cell r="M50" t="str">
            <v xml:space="preserve">A1312:  Dons en capital reçus d'administrations publiques étrangères </v>
          </cell>
        </row>
        <row r="51">
          <cell r="M51" t="str">
            <v xml:space="preserve">A132:  Dons reçus d'organisations internationales </v>
          </cell>
        </row>
        <row r="52">
          <cell r="M52" t="str">
            <v xml:space="preserve">A1321:  Dons courants reçus d'organisations internationales </v>
          </cell>
        </row>
        <row r="53">
          <cell r="M53" t="str">
            <v xml:space="preserve">A1322:  Dons en capital reçus d'organisations internationales </v>
          </cell>
        </row>
        <row r="54">
          <cell r="M54" t="str">
            <v xml:space="preserve">A133:  Dons reçus d'autres unités d'administration publique </v>
          </cell>
        </row>
        <row r="55">
          <cell r="M55" t="str">
            <v xml:space="preserve">A1331:  Dons courants reçus d'autres unités d'administration publique </v>
          </cell>
        </row>
        <row r="56">
          <cell r="M56" t="str">
            <v xml:space="preserve">A1332:  Dons en capital reçus d'autres unités d'administration publique </v>
          </cell>
        </row>
        <row r="57">
          <cell r="M57" t="str">
            <v xml:space="preserve">A14:  Autres recettes </v>
          </cell>
        </row>
        <row r="58">
          <cell r="M58" t="str">
            <v xml:space="preserve">A141:  Revenu de la propriété </v>
          </cell>
        </row>
        <row r="59">
          <cell r="M59" t="str">
            <v xml:space="preserve">A1411:  Intérêts </v>
          </cell>
        </row>
        <row r="60">
          <cell r="M60" t="str">
            <v xml:space="preserve">A1412:  Dividendes </v>
          </cell>
        </row>
        <row r="61">
          <cell r="M61" t="str">
            <v xml:space="preserve">A1413:  Prélèvements sur les revenus des quasi-sociétés </v>
          </cell>
        </row>
        <row r="62">
          <cell r="M62" t="str">
            <v xml:space="preserve">A1414:  Revenus de la propriété attribués aux assurés </v>
          </cell>
        </row>
        <row r="63">
          <cell r="M63" t="str">
            <v xml:space="preserve">A1415:  Loyers </v>
          </cell>
        </row>
        <row r="64">
          <cell r="M64" t="str">
            <v xml:space="preserve">A142:  Ventes de biens et services </v>
          </cell>
        </row>
        <row r="65">
          <cell r="M65" t="str">
            <v xml:space="preserve">A1421:  Ventes des établissements marchands </v>
          </cell>
        </row>
        <row r="66">
          <cell r="M66" t="str">
            <v xml:space="preserve">A1422:  Droits administratifs </v>
          </cell>
        </row>
        <row r="67">
          <cell r="M67" t="str">
            <v xml:space="preserve">A1423:  Ventes résiduelles des établissements non marchands </v>
          </cell>
        </row>
        <row r="68">
          <cell r="M68" t="str">
            <v xml:space="preserve">A1424:  Ventes imputées des biens et services </v>
          </cell>
        </row>
        <row r="69">
          <cell r="M69" t="str">
            <v xml:space="preserve">A143:  Amendes, pénalités et confiscations </v>
          </cell>
        </row>
        <row r="70">
          <cell r="M70" t="str">
            <v xml:space="preserve">A144:  Transferts volontaires autres que les dons </v>
          </cell>
        </row>
        <row r="71">
          <cell r="M71" t="str">
            <v xml:space="preserve">A1441:  Courants </v>
          </cell>
        </row>
        <row r="72">
          <cell r="M72" t="str">
            <v xml:space="preserve">A1442:  En capital </v>
          </cell>
        </row>
        <row r="73">
          <cell r="M73" t="str">
            <v xml:space="preserve">A145:  Recettes diverses non identifiées </v>
          </cell>
        </row>
        <row r="74">
          <cell r="M74" t="str">
            <v xml:space="preserve">A2:  CHARGES </v>
          </cell>
        </row>
        <row r="75">
          <cell r="M75" t="str">
            <v xml:space="preserve">A21:  Rémunération des salariés </v>
          </cell>
        </row>
        <row r="76">
          <cell r="M76" t="str">
            <v xml:space="preserve">A211:  Salaires et traitements </v>
          </cell>
        </row>
        <row r="77">
          <cell r="M77" t="str">
            <v>A2111:  Salaires et traitements en espèces</v>
          </cell>
        </row>
        <row r="78">
          <cell r="M78" t="str">
            <v>A2112:  Salaires et traitements en nature</v>
          </cell>
        </row>
        <row r="79">
          <cell r="M79" t="str">
            <v xml:space="preserve">A212:  Cotisations sociales </v>
          </cell>
        </row>
        <row r="80">
          <cell r="M80" t="str">
            <v xml:space="preserve">A2121:  Cotisations sociales effectives </v>
          </cell>
        </row>
        <row r="81">
          <cell r="M81" t="str">
            <v xml:space="preserve">A2122:  Cotisations sociales imputées </v>
          </cell>
        </row>
        <row r="82">
          <cell r="M82" t="str">
            <v xml:space="preserve">A22:  Utilisation de biens et services </v>
          </cell>
        </row>
        <row r="83">
          <cell r="M83" t="str">
            <v xml:space="preserve">A23:  Consommation de capital fixe </v>
          </cell>
        </row>
        <row r="84">
          <cell r="M84" t="str">
            <v xml:space="preserve">A24:  Intérêts </v>
          </cell>
        </row>
        <row r="85">
          <cell r="M85" t="str">
            <v xml:space="preserve">A241:  Intérêts aux non-résidents </v>
          </cell>
        </row>
        <row r="86">
          <cell r="M86" t="str">
            <v xml:space="preserve">A242:  Intérêts aux résidents autres que les administrations publiques </v>
          </cell>
        </row>
        <row r="87">
          <cell r="M87" t="str">
            <v>A243:  Intérêts aux autres unités d'administration publique</v>
          </cell>
        </row>
        <row r="88">
          <cell r="M88" t="str">
            <v xml:space="preserve">A25:  Subventions </v>
          </cell>
        </row>
        <row r="89">
          <cell r="M89" t="str">
            <v xml:space="preserve">A251:  Subventions aux sociétés publiques </v>
          </cell>
        </row>
        <row r="90">
          <cell r="M90" t="str">
            <v>A2511:  Aux sociétés publiques non financières</v>
          </cell>
        </row>
        <row r="91">
          <cell r="M91" t="str">
            <v>A2512:  Aux sociétés publiques financières</v>
          </cell>
        </row>
        <row r="92">
          <cell r="M92" t="str">
            <v>A252:  Subventions aux entreprises privées</v>
          </cell>
        </row>
        <row r="93">
          <cell r="M93" t="str">
            <v>A2521:  Aux sociétés privées non financières</v>
          </cell>
        </row>
        <row r="94">
          <cell r="M94" t="str">
            <v>A2522:  Aux sociétés privées financières</v>
          </cell>
        </row>
        <row r="95">
          <cell r="M95" t="str">
            <v xml:space="preserve">A26:  Dons </v>
          </cell>
        </row>
        <row r="96">
          <cell r="M96" t="str">
            <v xml:space="preserve">A261:  Dons aux administrations publiques étrangères </v>
          </cell>
        </row>
        <row r="97">
          <cell r="M97" t="str">
            <v>A2611:  Dons courants aux administrations publiques étrangères</v>
          </cell>
        </row>
        <row r="98">
          <cell r="M98" t="str">
            <v>A2612:  Dons en capital aux administrations publiques étrangères</v>
          </cell>
        </row>
        <row r="99">
          <cell r="M99" t="str">
            <v xml:space="preserve">A262:  Dons aux organisations internationales </v>
          </cell>
        </row>
        <row r="100">
          <cell r="M100" t="str">
            <v xml:space="preserve">A2621:  Dons courants aux organisations internationales </v>
          </cell>
        </row>
        <row r="101">
          <cell r="M101" t="str">
            <v xml:space="preserve">A2622:  Dons en capital aux organisations internationales </v>
          </cell>
        </row>
        <row r="102">
          <cell r="M102" t="str">
            <v xml:space="preserve">A263:  Dons aux autres unités des administrations publiques </v>
          </cell>
        </row>
        <row r="103">
          <cell r="M103" t="str">
            <v xml:space="preserve">A2631:  Dons courants aux autres unités des administrations publiques </v>
          </cell>
        </row>
        <row r="104">
          <cell r="M104" t="str">
            <v xml:space="preserve">A2632:  Dons en capital aux autres unités des administrations publiques </v>
          </cell>
        </row>
        <row r="105">
          <cell r="M105" t="str">
            <v xml:space="preserve">A27:  Prestations sociales </v>
          </cell>
        </row>
        <row r="106">
          <cell r="M106" t="str">
            <v xml:space="preserve">A271:  Prestations de sécurité sociale </v>
          </cell>
        </row>
        <row r="107">
          <cell r="M107" t="str">
            <v>A2711:  Prestations de sécurité sociale en espèces</v>
          </cell>
        </row>
        <row r="108">
          <cell r="M108" t="str">
            <v>A2712:  Prestations de sécurité sociale en nature</v>
          </cell>
        </row>
        <row r="109">
          <cell r="M109" t="str">
            <v xml:space="preserve">A272:  Prestations d'assistance sociale </v>
          </cell>
        </row>
        <row r="110">
          <cell r="M110" t="str">
            <v>A2721:  Prestations d'assistance sociale en espèces</v>
          </cell>
        </row>
        <row r="111">
          <cell r="M111" t="str">
            <v>A2722:  Prestations d'assistance sociale en nature</v>
          </cell>
        </row>
        <row r="112">
          <cell r="M112" t="str">
            <v xml:space="preserve">A273:  Prestations sociales d'employeurs </v>
          </cell>
        </row>
        <row r="113">
          <cell r="M113" t="str">
            <v>A2731:  Prestations sociales d'employeurs en espèces</v>
          </cell>
        </row>
        <row r="114">
          <cell r="M114" t="str">
            <v>A2732:  Prestations sociales d'employeurs en nature</v>
          </cell>
        </row>
        <row r="115">
          <cell r="M115" t="str">
            <v xml:space="preserve">A28:  Autres charges </v>
          </cell>
        </row>
        <row r="116">
          <cell r="M116" t="str">
            <v xml:space="preserve">A281:  Charges liées à la propriété autres que les intérêts </v>
          </cell>
        </row>
        <row r="117">
          <cell r="M117" t="str">
            <v xml:space="preserve">A282:  Autres charges diverses </v>
          </cell>
        </row>
        <row r="118">
          <cell r="M118" t="str">
            <v>A2821:  Autres charges diverses courantes</v>
          </cell>
        </row>
        <row r="119">
          <cell r="M119" t="str">
            <v>A2822:  Autres charges diverses en capital</v>
          </cell>
        </row>
        <row r="120">
          <cell r="M120" t="str">
            <v xml:space="preserve">A3:  VARIATION DE LA VALEUR NETTE: TRANSACTIONS c/ </v>
          </cell>
        </row>
        <row r="121">
          <cell r="M121" t="str">
            <v xml:space="preserve">A31:  Acquisition nette d'actifs non financiers d/ </v>
          </cell>
        </row>
        <row r="122">
          <cell r="M122" t="str">
            <v xml:space="preserve">A311:  Actifs fixes </v>
          </cell>
        </row>
        <row r="123">
          <cell r="M123" t="str">
            <v xml:space="preserve">A311,1:  Acquisition: Actifs fixes </v>
          </cell>
        </row>
        <row r="124">
          <cell r="M124" t="str">
            <v xml:space="preserve">A311,2:  Ventes: Actifs fixes </v>
          </cell>
        </row>
        <row r="125">
          <cell r="M125" t="str">
            <v xml:space="preserve">A311,3:  Consommation de capital fixe (CCF): actifs fixes </v>
          </cell>
        </row>
        <row r="126">
          <cell r="M126" t="str">
            <v xml:space="preserve">A3111:  Bâtiments et ouvrages de génie civil </v>
          </cell>
        </row>
        <row r="127">
          <cell r="M127" t="str">
            <v xml:space="preserve">A3111,1:  Acquisition: bâtiments et ouvrages de génie civil </v>
          </cell>
        </row>
        <row r="128">
          <cell r="M128" t="str">
            <v xml:space="preserve">A3111,2:  Ventes: bâtiments et ouvrages de génie civil </v>
          </cell>
        </row>
        <row r="129">
          <cell r="M129" t="str">
            <v xml:space="preserve">A3111,3:  CCF: bâtiments et ouvrages de génie civil </v>
          </cell>
        </row>
        <row r="130">
          <cell r="M130" t="str">
            <v xml:space="preserve">A3112:  Machines et équipement  </v>
          </cell>
        </row>
        <row r="131">
          <cell r="M131" t="str">
            <v xml:space="preserve">A3112,1:  Acquisition: machines et équipement </v>
          </cell>
        </row>
        <row r="132">
          <cell r="M132" t="str">
            <v xml:space="preserve">A3112,2:  Ventes: machines et équipement </v>
          </cell>
        </row>
        <row r="133">
          <cell r="M133" t="str">
            <v xml:space="preserve">A3112,3:  CCF: machines et équipement </v>
          </cell>
        </row>
        <row r="134">
          <cell r="M134" t="str">
            <v xml:space="preserve">A3113:  Autres actifs fixes </v>
          </cell>
        </row>
        <row r="135">
          <cell r="M135" t="str">
            <v xml:space="preserve">A3113,1:  Acquisition: autres actifs fixes </v>
          </cell>
        </row>
        <row r="136">
          <cell r="M136" t="str">
            <v xml:space="preserve">A3113,2:  Ventes: autres actifs fixes </v>
          </cell>
        </row>
        <row r="137">
          <cell r="M137" t="str">
            <v xml:space="preserve">A3113,3:  CCF: autres actifs fixes </v>
          </cell>
        </row>
        <row r="138">
          <cell r="M138" t="str">
            <v xml:space="preserve">A312:  Stocks </v>
          </cell>
        </row>
        <row r="139">
          <cell r="M139" t="str">
            <v>A3121:  Acquisition: stocks</v>
          </cell>
        </row>
        <row r="140">
          <cell r="M140" t="str">
            <v>A3122:  Ventes: autres stocks</v>
          </cell>
        </row>
        <row r="141">
          <cell r="M141" t="str">
            <v xml:space="preserve">A313:  Objets de valeur </v>
          </cell>
        </row>
        <row r="142">
          <cell r="M142" t="str">
            <v>A313,1:  Acquisition: objets de valeur</v>
          </cell>
        </row>
        <row r="143">
          <cell r="M143" t="str">
            <v>A313,2:  Ventes: objets de valeur</v>
          </cell>
        </row>
        <row r="144">
          <cell r="M144" t="str">
            <v xml:space="preserve">A314:  Actifs non produits </v>
          </cell>
        </row>
        <row r="145">
          <cell r="M145" t="str">
            <v xml:space="preserve">A314,1:  Acquisition: actifs non produits </v>
          </cell>
        </row>
        <row r="146">
          <cell r="M146" t="str">
            <v>A314,2:  Ventes: actifs non produits</v>
          </cell>
        </row>
        <row r="147">
          <cell r="M147" t="str">
            <v xml:space="preserve">A314,3:  CCF: major improvements, actifs non produits </v>
          </cell>
        </row>
        <row r="148">
          <cell r="M148" t="str">
            <v xml:space="preserve">A3141:  Terrains </v>
          </cell>
        </row>
        <row r="149">
          <cell r="M149" t="str">
            <v xml:space="preserve">A3141,1:  Acquisition: terrains </v>
          </cell>
        </row>
        <row r="150">
          <cell r="M150" t="str">
            <v xml:space="preserve">A3141,2:  Ventes: terrains </v>
          </cell>
        </row>
        <row r="151">
          <cell r="M151" t="str">
            <v xml:space="preserve">A3141,3:  CCF:  major improvements, terrains </v>
          </cell>
        </row>
        <row r="152">
          <cell r="M152" t="str">
            <v xml:space="preserve">A3142:  Gisements </v>
          </cell>
        </row>
        <row r="153">
          <cell r="M153" t="str">
            <v xml:space="preserve">A3142,1:  Acquisition: gisements </v>
          </cell>
        </row>
        <row r="154">
          <cell r="M154" t="str">
            <v xml:space="preserve">A3142,2:  Ventes: gisements </v>
          </cell>
        </row>
        <row r="155">
          <cell r="M155" t="str">
            <v xml:space="preserve">A3142,3:  CCF: major improvements, gisements </v>
          </cell>
        </row>
        <row r="156">
          <cell r="M156" t="str">
            <v xml:space="preserve">A3143:  Autres actifs naturels </v>
          </cell>
        </row>
        <row r="157">
          <cell r="M157" t="str">
            <v xml:space="preserve">A3143,1:  Acquisition: autres actifs naturels </v>
          </cell>
        </row>
        <row r="158">
          <cell r="M158" t="str">
            <v xml:space="preserve">A3143,2:  Ventes: autres actifs naturels </v>
          </cell>
        </row>
        <row r="159">
          <cell r="M159" t="str">
            <v xml:space="preserve">A3144:  Actifs incorporels non produits </v>
          </cell>
        </row>
        <row r="160">
          <cell r="M160" t="str">
            <v xml:space="preserve">A3144,1:  Acquisitions: actifs incorporels non produits </v>
          </cell>
        </row>
        <row r="161">
          <cell r="M161" t="str">
            <v xml:space="preserve">A3144,2:  Ventes: actifs incorporels non produits </v>
          </cell>
        </row>
        <row r="162">
          <cell r="M162" t="str">
            <v xml:space="preserve">A32:  Acquisition nette d'actifs financiers </v>
          </cell>
        </row>
        <row r="163">
          <cell r="M163" t="str">
            <v xml:space="preserve">A3202:  Numéraire et dépôts [3212+3222] </v>
          </cell>
        </row>
        <row r="164">
          <cell r="M164" t="str">
            <v xml:space="preserve">A3203:  Titres autres qu'actions [3213+3223] </v>
          </cell>
        </row>
        <row r="165">
          <cell r="M165" t="str">
            <v xml:space="preserve">A3204:  Crédits [3214+3224] </v>
          </cell>
        </row>
        <row r="166">
          <cell r="M166" t="str">
            <v xml:space="preserve">A3205:  Actions et autres participations [3215+3225] </v>
          </cell>
        </row>
        <row r="167">
          <cell r="M167" t="str">
            <v xml:space="preserve">A3206:  Réserves techniques d'assurance [3216+3226] </v>
          </cell>
        </row>
        <row r="168">
          <cell r="M168" t="str">
            <v xml:space="preserve">A3207:  Dérivés financiers [3217+3227] </v>
          </cell>
        </row>
        <row r="169">
          <cell r="M169" t="str">
            <v xml:space="preserve">A3208:  Autres comptes à recevoir [3218+3228] </v>
          </cell>
        </row>
        <row r="170">
          <cell r="M170" t="str">
            <v xml:space="preserve">A321:  Intérieurs </v>
          </cell>
        </row>
        <row r="171">
          <cell r="M171" t="str">
            <v>A3212:  Numéraire et dépôts intérieurs (Actif)</v>
          </cell>
        </row>
        <row r="172">
          <cell r="M172" t="str">
            <v>A3213:  Titres autres qu'actions intérieurs (Actif)</v>
          </cell>
        </row>
        <row r="173">
          <cell r="M173" t="str">
            <v>A3214:  Crédits  intérieurs (Actif)</v>
          </cell>
        </row>
        <row r="174">
          <cell r="M174" t="str">
            <v>A3215:  Actions et autres participations intérieures (Actif)</v>
          </cell>
        </row>
        <row r="175">
          <cell r="M175" t="str">
            <v>A3216:  Réserves techniques d'assurance intérieures (Actif)</v>
          </cell>
        </row>
        <row r="176">
          <cell r="M176" t="str">
            <v>A3217:  Dérivés financiers intérieurs (Actif)</v>
          </cell>
        </row>
        <row r="177">
          <cell r="M177" t="str">
            <v>A3218:  Autres comptes à recevoir  intérieurs (Actif)</v>
          </cell>
        </row>
        <row r="178">
          <cell r="M178" t="str">
            <v xml:space="preserve">A322:  Extérieurs (Actif) </v>
          </cell>
        </row>
        <row r="179">
          <cell r="M179" t="str">
            <v>A3222:  Numéraire et dépôts extérieurs (Actif)</v>
          </cell>
        </row>
        <row r="180">
          <cell r="M180" t="str">
            <v>A3223:  Titres autres qu'actions extérieurs (Actif)</v>
          </cell>
        </row>
        <row r="181">
          <cell r="M181" t="str">
            <v>A3224:  Crédits  extérieurs (Actif)</v>
          </cell>
        </row>
        <row r="182">
          <cell r="M182" t="str">
            <v>A3225:  Actions et autres participations extérieures (Actif)</v>
          </cell>
        </row>
        <row r="183">
          <cell r="M183" t="str">
            <v>A3226:  Réserves techniques d'assurance extérieures (Actif)</v>
          </cell>
        </row>
        <row r="184">
          <cell r="M184" t="str">
            <v>A3227:  Dérivés financiers extérieurs (Actif)</v>
          </cell>
        </row>
        <row r="185">
          <cell r="M185" t="str">
            <v>A3228:  Autres comptes à recevoir  extérieurs (Actif)</v>
          </cell>
        </row>
        <row r="186">
          <cell r="M186" t="str">
            <v xml:space="preserve">A323:  Or monétaire et DTS </v>
          </cell>
        </row>
        <row r="187">
          <cell r="M187" t="str">
            <v xml:space="preserve">A33:  Accroissement net de passifs </v>
          </cell>
        </row>
        <row r="188">
          <cell r="M188" t="str">
            <v xml:space="preserve">A3301:  Droits de tirage spéciaux (DTS) [3321] </v>
          </cell>
        </row>
        <row r="189">
          <cell r="M189" t="str">
            <v xml:space="preserve">A3302:  Numéraire et dépôts [3312+3322] </v>
          </cell>
        </row>
        <row r="190">
          <cell r="M190" t="str">
            <v xml:space="preserve">A3303:  Titres autres qu'actions [3313+3323] </v>
          </cell>
        </row>
        <row r="191">
          <cell r="M191" t="str">
            <v xml:space="preserve">A3304:  Crédits [3314+3324] </v>
          </cell>
        </row>
        <row r="192">
          <cell r="M192" t="str">
            <v xml:space="preserve">A3305:  Actions et autres participations [3315+3325] </v>
          </cell>
        </row>
        <row r="193">
          <cell r="M193" t="str">
            <v xml:space="preserve">A3306:  Réserves techniques d'assurance [3316+3326] </v>
          </cell>
        </row>
        <row r="194">
          <cell r="M194" t="str">
            <v xml:space="preserve">A3307:  Dérivés financiers [3317+3327] </v>
          </cell>
        </row>
        <row r="195">
          <cell r="M195" t="str">
            <v xml:space="preserve">A3308:  Autres comptes à payer [3318+3328] </v>
          </cell>
        </row>
        <row r="196">
          <cell r="M196" t="str">
            <v xml:space="preserve">A331:  Intérieurs </v>
          </cell>
        </row>
        <row r="197">
          <cell r="M197" t="str">
            <v>A3312:  Numéraire et dépôts Intérieurs (Passif)</v>
          </cell>
        </row>
        <row r="198">
          <cell r="M198" t="str">
            <v>A3313:  Titres autres qu'actions Intérieurs (Passif)</v>
          </cell>
        </row>
        <row r="199">
          <cell r="M199" t="str">
            <v>A3314:  Crédits  Intérieurs (Passif)</v>
          </cell>
        </row>
        <row r="200">
          <cell r="M200" t="str">
            <v>A3315:  Actions et autres participations intérieures (Passif)</v>
          </cell>
        </row>
        <row r="201">
          <cell r="M201" t="str">
            <v>A3316:  Réserves techniques d'assurance intérieures (Passif)</v>
          </cell>
        </row>
        <row r="202">
          <cell r="M202" t="str">
            <v>A3317:  Dérivés financiers Intérieurs (Passif)</v>
          </cell>
        </row>
        <row r="203">
          <cell r="M203" t="str">
            <v>A3318:  Autres comptes à payer intérieurs (Passif)</v>
          </cell>
        </row>
        <row r="204">
          <cell r="M204" t="str">
            <v xml:space="preserve">A332:  Extérieurs </v>
          </cell>
        </row>
        <row r="205">
          <cell r="M205" t="str">
            <v xml:space="preserve">A3321:  Droits de tirage spéciaux (DTS) </v>
          </cell>
        </row>
        <row r="206">
          <cell r="M206" t="str">
            <v>A3322:  Numéraire et dépôts extérieurs (Passif)</v>
          </cell>
        </row>
        <row r="207">
          <cell r="M207" t="str">
            <v>A3323:  Titres autres qu'actions extérieurs (Passif)</v>
          </cell>
        </row>
        <row r="208">
          <cell r="M208" t="str">
            <v>A3324:  Crédits  extérieurs (Passif)</v>
          </cell>
        </row>
        <row r="209">
          <cell r="M209" t="str">
            <v>A3325:  Actions et autres participations extérieures (Passif)</v>
          </cell>
        </row>
        <row r="210">
          <cell r="M210" t="str">
            <v>A3326:  Réserves techniques d'assurance extérieures (Passif)</v>
          </cell>
        </row>
        <row r="211">
          <cell r="M211" t="str">
            <v>A3327:  Dérivés financiers extérieurs (Passif)</v>
          </cell>
        </row>
        <row r="212">
          <cell r="M212" t="str">
            <v>A3328:  Autres comptes à payer extérieurs (Passif)</v>
          </cell>
        </row>
        <row r="213">
          <cell r="M213" t="str">
            <v xml:space="preserve">A4:  VARIATION DE LA VALEUR NETTE: GAINS DE DÉTENTION c/ </v>
          </cell>
        </row>
        <row r="214">
          <cell r="M214" t="str">
            <v xml:space="preserve">A41:  Actifs non financiers </v>
          </cell>
        </row>
        <row r="215">
          <cell r="M215" t="str">
            <v xml:space="preserve">A411:  Actifs fixes </v>
          </cell>
        </row>
        <row r="216">
          <cell r="M216" t="str">
            <v xml:space="preserve">A4111:  Bâtiments et ouvrages de génie civil </v>
          </cell>
        </row>
        <row r="217">
          <cell r="M217" t="str">
            <v xml:space="preserve">A4112:  Machines et equipement </v>
          </cell>
        </row>
        <row r="218">
          <cell r="M218" t="str">
            <v xml:space="preserve">A4113:  Autres actifs fixes </v>
          </cell>
        </row>
        <row r="219">
          <cell r="M219" t="str">
            <v xml:space="preserve">A412:  Stocks </v>
          </cell>
        </row>
        <row r="220">
          <cell r="M220" t="str">
            <v xml:space="preserve">A413:  Objets de valeur </v>
          </cell>
        </row>
        <row r="221">
          <cell r="M221" t="str">
            <v xml:space="preserve">A414:  Actifs non produits </v>
          </cell>
        </row>
        <row r="222">
          <cell r="M222" t="str">
            <v xml:space="preserve">A4141:  Terrains </v>
          </cell>
        </row>
        <row r="223">
          <cell r="M223" t="str">
            <v xml:space="preserve">A4142:  Gisements </v>
          </cell>
        </row>
        <row r="224">
          <cell r="M224" t="str">
            <v xml:space="preserve">A4143:  Autres actifs naturels </v>
          </cell>
        </row>
        <row r="225">
          <cell r="M225" t="str">
            <v xml:space="preserve">A4144:  Actifs incorporels non produits </v>
          </cell>
        </row>
        <row r="226">
          <cell r="M226" t="str">
            <v xml:space="preserve">A42:  Actifs financiers </v>
          </cell>
        </row>
        <row r="227">
          <cell r="M227" t="str">
            <v xml:space="preserve">A4202:  Numéraire et dépôts [4212+4222] </v>
          </cell>
        </row>
        <row r="228">
          <cell r="M228" t="str">
            <v xml:space="preserve">A4203:  Titres autres qu'actions [4213+4223] </v>
          </cell>
        </row>
        <row r="229">
          <cell r="M229" t="str">
            <v xml:space="preserve">A4204:  Crédits [4214+4224] </v>
          </cell>
        </row>
        <row r="230">
          <cell r="M230" t="str">
            <v xml:space="preserve">A4205:  Actions et autres participations [4215+4225] </v>
          </cell>
        </row>
        <row r="231">
          <cell r="M231" t="str">
            <v xml:space="preserve">A4206:  Réserves techniques d'assurance [4216+4226] </v>
          </cell>
        </row>
        <row r="232">
          <cell r="M232" t="str">
            <v xml:space="preserve">A4207:  Dérivés financiers [4217+4227] </v>
          </cell>
        </row>
        <row r="233">
          <cell r="M233" t="str">
            <v xml:space="preserve">A4208:  Autres comptes à recevoir [4218+4228] </v>
          </cell>
        </row>
        <row r="234">
          <cell r="M234" t="str">
            <v xml:space="preserve">A421:  Intérieurs </v>
          </cell>
        </row>
        <row r="235">
          <cell r="M235" t="str">
            <v xml:space="preserve">A4212:  Numéraire et dépôts </v>
          </cell>
        </row>
        <row r="236">
          <cell r="M236" t="str">
            <v xml:space="preserve">A4213:  Titres autres qu'actions </v>
          </cell>
        </row>
        <row r="237">
          <cell r="M237" t="str">
            <v xml:space="preserve">A4214:  Crédits </v>
          </cell>
        </row>
        <row r="238">
          <cell r="M238" t="str">
            <v xml:space="preserve">A4215:  Actions et autres participations </v>
          </cell>
        </row>
        <row r="239">
          <cell r="M239" t="str">
            <v>A4216:  Réserves techniques d'assurance</v>
          </cell>
        </row>
        <row r="240">
          <cell r="M240" t="str">
            <v xml:space="preserve">A4217:  Dérivés financiers </v>
          </cell>
        </row>
        <row r="241">
          <cell r="M241" t="str">
            <v xml:space="preserve">A4218:  Autres comptes à recevoir </v>
          </cell>
        </row>
        <row r="242">
          <cell r="M242" t="str">
            <v xml:space="preserve">A422:  Extérieurs </v>
          </cell>
        </row>
        <row r="243">
          <cell r="M243" t="str">
            <v xml:space="preserve">A4222:  Numéraire et dépôts </v>
          </cell>
        </row>
        <row r="244">
          <cell r="M244" t="str">
            <v>A4223:  Titres autres qu'actions</v>
          </cell>
        </row>
        <row r="245">
          <cell r="M245" t="str">
            <v>A4224:  Crédits</v>
          </cell>
        </row>
        <row r="246">
          <cell r="M246" t="str">
            <v>A4225:  Actions et autres participations</v>
          </cell>
        </row>
        <row r="247">
          <cell r="M247" t="str">
            <v>A4226:  Réserves techniques d'assurance</v>
          </cell>
        </row>
        <row r="248">
          <cell r="M248" t="str">
            <v xml:space="preserve">A4227:  Dérivés financiers </v>
          </cell>
        </row>
        <row r="249">
          <cell r="M249" t="str">
            <v xml:space="preserve">A4228:  Autres comptes à recevoir </v>
          </cell>
        </row>
        <row r="250">
          <cell r="M250" t="str">
            <v xml:space="preserve">A423:  Or monétaire et DTS </v>
          </cell>
        </row>
        <row r="251">
          <cell r="M251" t="str">
            <v xml:space="preserve">A43:  Passifs </v>
          </cell>
        </row>
        <row r="252">
          <cell r="M252" t="str">
            <v xml:space="preserve">A4301:  Droits de tirage spéciaux (DTS) [4321] </v>
          </cell>
        </row>
        <row r="253">
          <cell r="M253" t="str">
            <v xml:space="preserve">A4302:  Numéraire et dépôts [4312+4322] </v>
          </cell>
        </row>
        <row r="254">
          <cell r="M254" t="str">
            <v xml:space="preserve">A4303:  Titres autres qu'actions [4313+4323] </v>
          </cell>
        </row>
        <row r="255">
          <cell r="M255" t="str">
            <v xml:space="preserve">A4304:  Crédits [4314+4324] </v>
          </cell>
        </row>
        <row r="256">
          <cell r="M256" t="str">
            <v xml:space="preserve">A4305:  Actions et autres participations [4315+4325] </v>
          </cell>
        </row>
        <row r="257">
          <cell r="M257" t="str">
            <v xml:space="preserve">A4306:  Réserves techniques d'assurance [4316+4326] </v>
          </cell>
        </row>
        <row r="258">
          <cell r="M258" t="str">
            <v xml:space="preserve">A4307:  Dérivés financiers [4317+4327] </v>
          </cell>
        </row>
        <row r="259">
          <cell r="M259" t="str">
            <v xml:space="preserve">A4308:  Autres comptes à payer [4318+4328] </v>
          </cell>
        </row>
        <row r="260">
          <cell r="M260" t="str">
            <v xml:space="preserve">A431:  Intérieurs </v>
          </cell>
        </row>
        <row r="261">
          <cell r="M261" t="str">
            <v xml:space="preserve">A4312:  Numéraire et dépôts </v>
          </cell>
        </row>
        <row r="262">
          <cell r="M262" t="str">
            <v xml:space="preserve">A4313:  Titres autres qu'actions </v>
          </cell>
        </row>
        <row r="263">
          <cell r="M263" t="str">
            <v xml:space="preserve">A4314:  Crédits </v>
          </cell>
        </row>
        <row r="264">
          <cell r="M264" t="str">
            <v>A4315:  Actions et autres participations</v>
          </cell>
        </row>
        <row r="265">
          <cell r="M265" t="str">
            <v>A4316:  Réserves techniques d'assurance</v>
          </cell>
        </row>
        <row r="266">
          <cell r="M266" t="str">
            <v xml:space="preserve">A4317:  Dérivés financiers </v>
          </cell>
        </row>
        <row r="267">
          <cell r="M267" t="str">
            <v xml:space="preserve">A4318:  Autres comptes à payer </v>
          </cell>
        </row>
        <row r="268">
          <cell r="M268" t="str">
            <v xml:space="preserve">A432:  Extérieurs </v>
          </cell>
        </row>
        <row r="269">
          <cell r="M269" t="str">
            <v xml:space="preserve">A4321:  Droits de tirage spéciaux (DTS) </v>
          </cell>
        </row>
        <row r="270">
          <cell r="M270" t="str">
            <v xml:space="preserve">A4322:  Numéraire et dépôts </v>
          </cell>
        </row>
        <row r="271">
          <cell r="M271" t="str">
            <v xml:space="preserve">A4323:  Titres autres qu'actions </v>
          </cell>
        </row>
        <row r="272">
          <cell r="M272" t="str">
            <v xml:space="preserve">A4324:  Crédits </v>
          </cell>
        </row>
        <row r="273">
          <cell r="M273" t="str">
            <v>A4325:  Actions et autres participations</v>
          </cell>
        </row>
        <row r="274">
          <cell r="M274" t="str">
            <v>A4326:  Réserves techniques d'assurance</v>
          </cell>
        </row>
        <row r="275">
          <cell r="M275" t="str">
            <v xml:space="preserve">A4327:  Dérivés financiers </v>
          </cell>
        </row>
        <row r="276">
          <cell r="M276" t="str">
            <v xml:space="preserve">A4328:  Autres comptes à payer </v>
          </cell>
        </row>
        <row r="277">
          <cell r="M277" t="str">
            <v>A5:  CHANGE IN NET WORTH: VOLUME CHANGES [51 + 52 - 53]</v>
          </cell>
        </row>
        <row r="278">
          <cell r="M278" t="str">
            <v>A51:  Volume Changes - Nonfinancial assets [511 + 512 + 513 + 514]</v>
          </cell>
        </row>
        <row r="279">
          <cell r="M279" t="str">
            <v>A511:  Volume Changes - Nonfinancial assets : Fixed assets [5111 + 5112 + 5113]</v>
          </cell>
        </row>
        <row r="280">
          <cell r="M280" t="str">
            <v xml:space="preserve">A5111:  Volume Changes - Nonfinancial assets : Fixed assets:   Buildings and structures </v>
          </cell>
        </row>
        <row r="281">
          <cell r="M281" t="str">
            <v xml:space="preserve">A5112:  Volume Changes - Nonfinancial assets : Fixed assets:  Machinery and equipment </v>
          </cell>
        </row>
        <row r="282">
          <cell r="M282" t="str">
            <v xml:space="preserve">A5113:  Volume Changes - Nonfinancial assets : Fixed assets:  Other fixed assets </v>
          </cell>
        </row>
        <row r="283">
          <cell r="M283" t="str">
            <v xml:space="preserve">A512:  Volume Changes - Inventories </v>
          </cell>
        </row>
        <row r="284">
          <cell r="M284" t="str">
            <v xml:space="preserve">A513:  Volume Changes - Valuables </v>
          </cell>
        </row>
        <row r="285">
          <cell r="M285" t="str">
            <v>A514:  Volume Changes - Nonfinancial assets : Nonproduced assets [5141 + 5142 + 5143 + 5144]</v>
          </cell>
        </row>
        <row r="286">
          <cell r="M286" t="str">
            <v xml:space="preserve">A5141:  Volume Changes - Nonfinancial assets : Nonproduced assets:  Land </v>
          </cell>
        </row>
        <row r="287">
          <cell r="M287" t="str">
            <v xml:space="preserve">A5142:  Volume Changes - Nonfinancial assets : Nonproduced assets:  Subsoil assets </v>
          </cell>
        </row>
        <row r="288">
          <cell r="M288" t="str">
            <v xml:space="preserve">A5143:  Volume Changes - Nonfinancial assets : Nonproduced assets:  Other naturally occurring assets </v>
          </cell>
        </row>
        <row r="289">
          <cell r="M289" t="str">
            <v xml:space="preserve">A5144:  Volume Changes - Nonfinancial assets : Nonproduced assets:  Intangible nonproduced assets </v>
          </cell>
        </row>
        <row r="290">
          <cell r="M290" t="str">
            <v xml:space="preserve">A52:  Volume Changes - Financial assets [521+522+523] </v>
          </cell>
        </row>
        <row r="291">
          <cell r="M291" t="str">
            <v xml:space="preserve">A5202:  Volume Changes - Financial assets:  Currency and deposits [5212+5222] </v>
          </cell>
        </row>
        <row r="292">
          <cell r="M292" t="str">
            <v xml:space="preserve">A5203:  Volume Changes - Financial assets:  Securities other than shares [5213+5223] </v>
          </cell>
        </row>
        <row r="293">
          <cell r="M293" t="str">
            <v xml:space="preserve">A5204:  Volume Changes - Financial assets:  Loans [5214+5224] </v>
          </cell>
        </row>
        <row r="294">
          <cell r="M294" t="str">
            <v xml:space="preserve">A5205:  Volume Changes - Financial assets:  Shares and other equity [5215+5225] </v>
          </cell>
        </row>
        <row r="295">
          <cell r="M295" t="str">
            <v xml:space="preserve">A5206:  Volume Changes - Financial assets:  Insurance technical reserves [5216+5226] </v>
          </cell>
        </row>
        <row r="296">
          <cell r="M296" t="str">
            <v xml:space="preserve">A5207:  Volume Changes - Financial assets:  Financial derivatives [5217+5227] </v>
          </cell>
        </row>
        <row r="297">
          <cell r="M297" t="str">
            <v xml:space="preserve">A5208:  Volume Changes - Financial assets:  Other accounts receivable [5218+5228] </v>
          </cell>
        </row>
        <row r="298">
          <cell r="M298" t="str">
            <v>A521:  Volume Changes - Financial assets:  Domestic  [5212 + 5213 + 5214 + 5215 + 5216+ 5217 + 5218]</v>
          </cell>
        </row>
        <row r="299">
          <cell r="M299" t="str">
            <v xml:space="preserve">A5212:  Volume Changes - Financial assets:  Domestic - Currency and deposits </v>
          </cell>
        </row>
        <row r="300">
          <cell r="M300" t="str">
            <v xml:space="preserve">A5213:  Volume Changes - Financial assets:  Domestic - Securities other than shares </v>
          </cell>
        </row>
        <row r="301">
          <cell r="M301" t="str">
            <v xml:space="preserve">A5214:  Volume Changes - Financial assets:  Domestic - Loans </v>
          </cell>
        </row>
        <row r="302">
          <cell r="M302" t="str">
            <v xml:space="preserve">A5215:  Volume Changes - Financial assets:  Domestic - Shares and other equity </v>
          </cell>
        </row>
        <row r="303">
          <cell r="M303" t="str">
            <v xml:space="preserve">A5216:  Volume Changes - Financial assets:  Domestic - Insurance technical reserves </v>
          </cell>
        </row>
        <row r="304">
          <cell r="M304" t="str">
            <v xml:space="preserve">A5217:  Volume Changes - Financial assets:  Domestic - Financial derivatives </v>
          </cell>
        </row>
        <row r="305">
          <cell r="M305" t="str">
            <v xml:space="preserve">A5218:  Volume Changes - Financial assets:  Domestic - Other accounts receivable </v>
          </cell>
        </row>
        <row r="306">
          <cell r="M306" t="str">
            <v>A522:  Volume Changes - Financial assets:  Foreign  [5222 + 5223 + 5224 + 5225 + 5226+ 5227 + 5228]</v>
          </cell>
        </row>
        <row r="307">
          <cell r="M307" t="str">
            <v xml:space="preserve">A5222:  Volume Changes - Financial assets:  Foreign  - Currency and deposits </v>
          </cell>
        </row>
        <row r="308">
          <cell r="M308" t="str">
            <v xml:space="preserve">A5223:  Volume Changes - Financial assets:  Foreign  - Securities other than shares </v>
          </cell>
        </row>
        <row r="309">
          <cell r="M309" t="str">
            <v xml:space="preserve">A5224:  Volume Changes - Financial assets:  Foreign  - Loans </v>
          </cell>
        </row>
        <row r="310">
          <cell r="M310" t="str">
            <v xml:space="preserve">A5225:  Volume Changes - Financial assets:  Foreign  - Shares and other equity </v>
          </cell>
        </row>
        <row r="311">
          <cell r="M311" t="str">
            <v xml:space="preserve">A5226:  Volume Changes - Financial assets:  Foreign  - Insurance technical reserves </v>
          </cell>
        </row>
        <row r="312">
          <cell r="M312" t="str">
            <v xml:space="preserve">A5227:  Volume Changes - Financial assets:  Foreign  - Financial derivatives </v>
          </cell>
        </row>
        <row r="313">
          <cell r="M313" t="str">
            <v xml:space="preserve">A5228:  Volume Changes - Financial assets:  Foreign  - Other accounts receivable </v>
          </cell>
        </row>
        <row r="314">
          <cell r="M314" t="str">
            <v xml:space="preserve">A523:  Volume Changes - Financial assets:  Monetary gold and SDRs </v>
          </cell>
        </row>
        <row r="315">
          <cell r="M315" t="str">
            <v xml:space="preserve">A53:  VARIATION DE LA VALEUR NETTE: AUTRES CHANGEMENTS DE VOLUME c/ </v>
          </cell>
        </row>
        <row r="316">
          <cell r="M316" t="str">
            <v xml:space="preserve">A5301:  Actifs non financiers </v>
          </cell>
        </row>
        <row r="317">
          <cell r="M317" t="str">
            <v xml:space="preserve">A5302:  Actifs fixes </v>
          </cell>
        </row>
        <row r="318">
          <cell r="M318" t="str">
            <v xml:space="preserve">A5303:  Bâtiments et ouvrages de génie civil </v>
          </cell>
        </row>
        <row r="319">
          <cell r="M319" t="str">
            <v xml:space="preserve">A5304:  Machines et equipement </v>
          </cell>
        </row>
        <row r="320">
          <cell r="M320" t="str">
            <v xml:space="preserve">A5305:  Autres actifs fixes </v>
          </cell>
        </row>
        <row r="321">
          <cell r="M321" t="str">
            <v xml:space="preserve">A5306:  Stocks </v>
          </cell>
        </row>
        <row r="322">
          <cell r="M322" t="str">
            <v xml:space="preserve">A5307:  Objets de valeur </v>
          </cell>
        </row>
        <row r="323">
          <cell r="M323" t="str">
            <v xml:space="preserve">A5308:  Actifs non produits </v>
          </cell>
        </row>
        <row r="324">
          <cell r="M324" t="str">
            <v xml:space="preserve">A531:  Terrains </v>
          </cell>
        </row>
        <row r="325">
          <cell r="M325" t="str">
            <v xml:space="preserve">A5312:  Gisements </v>
          </cell>
        </row>
        <row r="326">
          <cell r="M326" t="str">
            <v xml:space="preserve">A5313:  Autres actifs naturels </v>
          </cell>
        </row>
        <row r="327">
          <cell r="M327" t="str">
            <v xml:space="preserve">A5314:  Actifs incorporels non produits </v>
          </cell>
        </row>
        <row r="328">
          <cell r="M328" t="str">
            <v xml:space="preserve">A5315:  Actifs financiers </v>
          </cell>
        </row>
        <row r="329">
          <cell r="M329" t="str">
            <v xml:space="preserve">A5316:  Numéraire et dépôts [5212+5222] </v>
          </cell>
        </row>
        <row r="330">
          <cell r="M330" t="str">
            <v xml:space="preserve">A5317:  Titres autres qu'actions [5213+5223] </v>
          </cell>
        </row>
        <row r="331">
          <cell r="M331" t="str">
            <v xml:space="preserve">A5318:  Crédits [5214+5224] </v>
          </cell>
        </row>
        <row r="332">
          <cell r="M332" t="str">
            <v xml:space="preserve">A532:  Actions et autres participations [5215+5225] </v>
          </cell>
        </row>
        <row r="333">
          <cell r="M333" t="str">
            <v xml:space="preserve">A5321:  Réserves techniques d'assurance [5216+5226] </v>
          </cell>
        </row>
        <row r="334">
          <cell r="M334" t="str">
            <v xml:space="preserve">A5322:  Dérivés financiers [5217+5227] </v>
          </cell>
        </row>
        <row r="335">
          <cell r="M335" t="str">
            <v xml:space="preserve">A5323:  Autres comptes à recevoir [5218+5228] </v>
          </cell>
        </row>
        <row r="336">
          <cell r="M336" t="str">
            <v xml:space="preserve">A5324:  Intérieurs </v>
          </cell>
        </row>
        <row r="337">
          <cell r="M337" t="str">
            <v xml:space="preserve">A5325:  Numéraire et dépôts </v>
          </cell>
        </row>
        <row r="338">
          <cell r="M338" t="str">
            <v xml:space="preserve">A5326:  Titres autres qu'actions </v>
          </cell>
        </row>
        <row r="339">
          <cell r="M339" t="str">
            <v xml:space="preserve">A5327:  Crédits </v>
          </cell>
        </row>
        <row r="340">
          <cell r="M340" t="str">
            <v xml:space="preserve">A5328:  Actions et autres participations </v>
          </cell>
        </row>
        <row r="341">
          <cell r="M341" t="str">
            <v xml:space="preserve">A6:  VALEUR NETTE  </v>
          </cell>
        </row>
        <row r="342">
          <cell r="M342" t="str">
            <v xml:space="preserve">A61:  Actifs non financiers </v>
          </cell>
        </row>
        <row r="343">
          <cell r="M343" t="str">
            <v xml:space="preserve">A611:  Actifs fixes </v>
          </cell>
        </row>
        <row r="344">
          <cell r="M344" t="str">
            <v xml:space="preserve">A6111:  Bâtiments et ouvrages de génie civil </v>
          </cell>
        </row>
        <row r="345">
          <cell r="M345" t="str">
            <v xml:space="preserve">A6112:  Machines et equipement </v>
          </cell>
        </row>
        <row r="346">
          <cell r="M346" t="str">
            <v xml:space="preserve">A6113:  Autres actifs fixes </v>
          </cell>
        </row>
        <row r="347">
          <cell r="M347" t="str">
            <v xml:space="preserve">A612:  Stocks </v>
          </cell>
        </row>
        <row r="348">
          <cell r="M348" t="str">
            <v xml:space="preserve">A613:  Objets de valeur </v>
          </cell>
        </row>
        <row r="349">
          <cell r="M349" t="str">
            <v xml:space="preserve">A614:  Actifs non produits </v>
          </cell>
        </row>
        <row r="350">
          <cell r="M350" t="str">
            <v xml:space="preserve">A6141:  Terrains </v>
          </cell>
        </row>
        <row r="351">
          <cell r="M351" t="str">
            <v xml:space="preserve">A6142:  Gisements </v>
          </cell>
        </row>
        <row r="352">
          <cell r="M352" t="str">
            <v xml:space="preserve">A6143:  Autres actifs naturels </v>
          </cell>
        </row>
        <row r="353">
          <cell r="M353" t="str">
            <v xml:space="preserve">A6144:  Actifs incorporels non produits </v>
          </cell>
        </row>
        <row r="354">
          <cell r="M354" t="str">
            <v xml:space="preserve">A62:  Actifs financiers </v>
          </cell>
        </row>
        <row r="355">
          <cell r="M355" t="str">
            <v xml:space="preserve">A6202:  Numéraire et dépôts [6212+6222] </v>
          </cell>
        </row>
        <row r="356">
          <cell r="M356" t="str">
            <v xml:space="preserve">A6203:  Titres autres qu'actions [6213+6223] </v>
          </cell>
        </row>
        <row r="357">
          <cell r="M357" t="str">
            <v xml:space="preserve">A6204:  Crédits [6214+6224] </v>
          </cell>
        </row>
        <row r="358">
          <cell r="M358" t="str">
            <v xml:space="preserve">A6205:  Actions et autres participations [6215+6225] </v>
          </cell>
        </row>
        <row r="359">
          <cell r="M359" t="str">
            <v xml:space="preserve">A6206:  Réserves techniques d'assurance [6216+6226] </v>
          </cell>
        </row>
        <row r="360">
          <cell r="M360" t="str">
            <v xml:space="preserve">A6207:  Dérivés financiers [6217+6227] </v>
          </cell>
        </row>
        <row r="361">
          <cell r="M361" t="str">
            <v xml:space="preserve">A6208:  Autres comptes à recevoir [6218+6228] </v>
          </cell>
        </row>
        <row r="362">
          <cell r="M362" t="str">
            <v xml:space="preserve">A621:  Intérieurs </v>
          </cell>
        </row>
        <row r="363">
          <cell r="M363" t="str">
            <v xml:space="preserve">A6212:  Numéraire et dépôts </v>
          </cell>
        </row>
        <row r="364">
          <cell r="M364" t="str">
            <v xml:space="preserve">A6213:  Titres autres qu'actions </v>
          </cell>
        </row>
        <row r="365">
          <cell r="M365" t="str">
            <v xml:space="preserve">A6214:  Crédits </v>
          </cell>
        </row>
        <row r="366">
          <cell r="M366" t="str">
            <v xml:space="preserve">A6215:  Actions et autres participations </v>
          </cell>
        </row>
        <row r="367">
          <cell r="M367" t="str">
            <v>A6216:  Réserves techniques d'assurance</v>
          </cell>
        </row>
        <row r="368">
          <cell r="M368" t="str">
            <v xml:space="preserve">A6217:  Dérivés financiers </v>
          </cell>
        </row>
        <row r="369">
          <cell r="M369" t="str">
            <v xml:space="preserve">A6218:  Autres comptes à recevoir </v>
          </cell>
        </row>
        <row r="370">
          <cell r="M370" t="str">
            <v xml:space="preserve">A622:  Extérieurs </v>
          </cell>
        </row>
        <row r="371">
          <cell r="M371" t="str">
            <v xml:space="preserve">A6222:  Numéraire et dépôts </v>
          </cell>
        </row>
        <row r="372">
          <cell r="M372" t="str">
            <v>A6223:  Titres autres qu'actions</v>
          </cell>
        </row>
        <row r="373">
          <cell r="M373" t="str">
            <v>A6224:  Crédits</v>
          </cell>
        </row>
        <row r="374">
          <cell r="M374" t="str">
            <v>A6225:  Actions et autres participations</v>
          </cell>
        </row>
        <row r="375">
          <cell r="M375" t="str">
            <v>A6226:  Réserves techniques d'assurance</v>
          </cell>
        </row>
        <row r="376">
          <cell r="M376" t="str">
            <v xml:space="preserve">A6227:  Dérivés financiers </v>
          </cell>
        </row>
        <row r="377">
          <cell r="M377" t="str">
            <v xml:space="preserve">A6228:  Autres comptes à recevoir </v>
          </cell>
        </row>
        <row r="378">
          <cell r="M378" t="str">
            <v xml:space="preserve">A623:  Or monétaire et DTS </v>
          </cell>
        </row>
        <row r="379">
          <cell r="M379" t="str">
            <v xml:space="preserve">A63:  Passifs </v>
          </cell>
        </row>
        <row r="380">
          <cell r="M380" t="str">
            <v xml:space="preserve">A6301:  Droits de tirage spéciaux (DTS) [6321] </v>
          </cell>
        </row>
        <row r="381">
          <cell r="M381" t="str">
            <v xml:space="preserve">A6302:  Numéraire et dépôts [6312+6322] </v>
          </cell>
        </row>
        <row r="382">
          <cell r="M382" t="str">
            <v xml:space="preserve">A6303:  Titres autres qu'actions [6313+6323] </v>
          </cell>
        </row>
        <row r="383">
          <cell r="M383" t="str">
            <v xml:space="preserve">A6304:  Crédits [6314+6324] </v>
          </cell>
        </row>
        <row r="384">
          <cell r="M384" t="str">
            <v xml:space="preserve">A6305:  Actions et autres participations [6315+6325] </v>
          </cell>
        </row>
        <row r="385">
          <cell r="M385" t="str">
            <v xml:space="preserve">A6306:  Réserves techniques d'assurance [6316+6326] </v>
          </cell>
        </row>
        <row r="386">
          <cell r="M386" t="str">
            <v xml:space="preserve">A6307:  Dérivés financiers [6317+6327] </v>
          </cell>
        </row>
        <row r="387">
          <cell r="M387" t="str">
            <v xml:space="preserve">A6308:  Autres comptes à payer [6318+6328] </v>
          </cell>
        </row>
        <row r="388">
          <cell r="M388" t="str">
            <v xml:space="preserve">A631:  Intérieurs </v>
          </cell>
        </row>
        <row r="389">
          <cell r="M389" t="str">
            <v xml:space="preserve">A6312:  Numéraire et dépôts </v>
          </cell>
        </row>
        <row r="390">
          <cell r="M390" t="str">
            <v xml:space="preserve">A6313:  Titres autres qu'actions </v>
          </cell>
        </row>
        <row r="391">
          <cell r="M391" t="str">
            <v xml:space="preserve">A6314:  Crédits </v>
          </cell>
        </row>
        <row r="392">
          <cell r="M392" t="str">
            <v>A6315:  Actions et autres participations</v>
          </cell>
        </row>
        <row r="393">
          <cell r="M393" t="str">
            <v>A6316:  Réserves techniques d'assurance</v>
          </cell>
        </row>
        <row r="394">
          <cell r="M394" t="str">
            <v xml:space="preserve">A6317:  Dérivés financiers </v>
          </cell>
        </row>
        <row r="395">
          <cell r="M395" t="str">
            <v xml:space="preserve">A6318:  Autres comptes à payer </v>
          </cell>
        </row>
        <row r="396">
          <cell r="M396" t="str">
            <v xml:space="preserve">A632:  Extérieurs </v>
          </cell>
        </row>
        <row r="397">
          <cell r="M397" t="str">
            <v xml:space="preserve">A6321:  Droits de tirage spéciaux (DTS) </v>
          </cell>
        </row>
        <row r="398">
          <cell r="M398" t="str">
            <v xml:space="preserve">A6322:  Numéraire et dépôts </v>
          </cell>
        </row>
        <row r="399">
          <cell r="M399" t="str">
            <v xml:space="preserve">A6323:  Titres autres qu'actions </v>
          </cell>
        </row>
        <row r="400">
          <cell r="M400" t="str">
            <v xml:space="preserve">A6324:  Crédits </v>
          </cell>
        </row>
        <row r="401">
          <cell r="M401" t="str">
            <v>A6325:  Actions et autres participations</v>
          </cell>
        </row>
        <row r="402">
          <cell r="M402" t="str">
            <v>A6326:  Réserves techniques d'assurance</v>
          </cell>
        </row>
        <row r="403">
          <cell r="M403" t="str">
            <v xml:space="preserve">A6327:  Dérivés financiers </v>
          </cell>
        </row>
        <row r="404">
          <cell r="M404" t="str">
            <v xml:space="preserve">A6328:  Autres comptes à payer </v>
          </cell>
        </row>
        <row r="405">
          <cell r="M405" t="str">
            <v xml:space="preserve">A7:  DÉPENSES </v>
          </cell>
        </row>
        <row r="406">
          <cell r="M406" t="str">
            <v xml:space="preserve">A701:  Services généraux des administrations publiques </v>
          </cell>
        </row>
        <row r="407">
          <cell r="M407" t="str">
            <v xml:space="preserve">A7017:  Opérations concernant la dette publique </v>
          </cell>
        </row>
        <row r="408">
          <cell r="M408" t="str">
            <v xml:space="preserve">A7018:  Transferts de caractère général entre les administrations publiques c/ </v>
          </cell>
        </row>
        <row r="409">
          <cell r="M409" t="str">
            <v xml:space="preserve">A702:  Défense </v>
          </cell>
        </row>
        <row r="410">
          <cell r="M410" t="str">
            <v xml:space="preserve">A703:  Ordre et sécurité publics </v>
          </cell>
        </row>
        <row r="411">
          <cell r="M411" t="str">
            <v xml:space="preserve">A704:  Affaires économiques </v>
          </cell>
        </row>
        <row r="412">
          <cell r="M412" t="str">
            <v xml:space="preserve">A7042:  Agriculture, sylviculture, pêche et chasse </v>
          </cell>
        </row>
        <row r="413">
          <cell r="M413" t="str">
            <v xml:space="preserve">A7043:  Combustibles et énergie </v>
          </cell>
        </row>
        <row r="414">
          <cell r="M414" t="str">
            <v xml:space="preserve">A7044:  Industries extractives et manufacturières, construction </v>
          </cell>
        </row>
        <row r="415">
          <cell r="M415" t="str">
            <v xml:space="preserve">A7045:  Transports </v>
          </cell>
        </row>
        <row r="416">
          <cell r="M416" t="str">
            <v xml:space="preserve">A7046:  Communication </v>
          </cell>
        </row>
        <row r="417">
          <cell r="M417" t="str">
            <v xml:space="preserve">A705:  Protection de l'environnement </v>
          </cell>
        </row>
        <row r="418">
          <cell r="M418" t="str">
            <v xml:space="preserve">A706:  Logements et équipements collectifs </v>
          </cell>
        </row>
        <row r="419">
          <cell r="M419" t="str">
            <v xml:space="preserve">A707:  Santé </v>
          </cell>
        </row>
        <row r="420">
          <cell r="M420" t="str">
            <v xml:space="preserve">A7072:  Services ambulatoires </v>
          </cell>
        </row>
        <row r="421">
          <cell r="M421" t="str">
            <v xml:space="preserve">A7073:  Services hospitaliers </v>
          </cell>
        </row>
        <row r="422">
          <cell r="M422" t="str">
            <v>A7074:  Services de santé publique</v>
          </cell>
        </row>
        <row r="423">
          <cell r="M423" t="str">
            <v xml:space="preserve">A708:  Loisirs, culture et culte </v>
          </cell>
        </row>
        <row r="424">
          <cell r="M424" t="str">
            <v xml:space="preserve">A709:  Enseignement </v>
          </cell>
        </row>
        <row r="425">
          <cell r="M425" t="str">
            <v xml:space="preserve">A7091:  Enseignement préélémentaire et primaire </v>
          </cell>
        </row>
        <row r="426">
          <cell r="M426" t="str">
            <v xml:space="preserve">A7092:  Enseignement secondaire </v>
          </cell>
        </row>
        <row r="427">
          <cell r="M427" t="str">
            <v xml:space="preserve">A7094:  Enseignement supérieur </v>
          </cell>
        </row>
        <row r="428">
          <cell r="M428" t="str">
            <v xml:space="preserve">A710:  Protection sociale </v>
          </cell>
        </row>
        <row r="429">
          <cell r="M429" t="str">
            <v xml:space="preserve">A82:  Acquisition nette d'actifs financiers  (=32) </v>
          </cell>
        </row>
        <row r="430">
          <cell r="M430" t="str">
            <v xml:space="preserve">A821:  Intérieurs  (=321) </v>
          </cell>
        </row>
        <row r="431">
          <cell r="M431" t="str">
            <v xml:space="preserve">A8211:  Administrations publiques </v>
          </cell>
        </row>
        <row r="432">
          <cell r="M432" t="str">
            <v xml:space="preserve">A8212:  Banque centrale </v>
          </cell>
        </row>
        <row r="433">
          <cell r="M433" t="str">
            <v xml:space="preserve">A8213:  Autres institutions de dépôts </v>
          </cell>
        </row>
        <row r="434">
          <cell r="M434" t="str">
            <v xml:space="preserve">A8214:  Sociétés financières non classées ailleurs </v>
          </cell>
        </row>
        <row r="435">
          <cell r="M435" t="str">
            <v xml:space="preserve">A8215:  Sociétés non financières </v>
          </cell>
        </row>
        <row r="436">
          <cell r="M436" t="str">
            <v xml:space="preserve">A8216:  Ménages et institutions sans but lucratif au service des ménages </v>
          </cell>
        </row>
        <row r="437">
          <cell r="M437" t="str">
            <v xml:space="preserve">A822:  Extérieurs  (=322) </v>
          </cell>
        </row>
        <row r="438">
          <cell r="M438" t="str">
            <v xml:space="preserve">A8221:  Administrations publiques </v>
          </cell>
        </row>
        <row r="439">
          <cell r="M439" t="str">
            <v>A8227:  Organisations internationales</v>
          </cell>
        </row>
        <row r="440">
          <cell r="M440" t="str">
            <v xml:space="preserve">A8228:  Sociétés financières autres que les organisations internationales </v>
          </cell>
        </row>
        <row r="441">
          <cell r="M441" t="str">
            <v xml:space="preserve">A8229:  Autres non-résidents </v>
          </cell>
        </row>
        <row r="442">
          <cell r="M442" t="str">
            <v xml:space="preserve">A823:  Or monétaire et DTS  (=323) </v>
          </cell>
        </row>
        <row r="443">
          <cell r="M443" t="str">
            <v xml:space="preserve">A83:  Accroissement net de passifs  (=33) </v>
          </cell>
        </row>
        <row r="444">
          <cell r="M444" t="str">
            <v xml:space="preserve">A831:  Intérieurs  (=331) </v>
          </cell>
        </row>
        <row r="445">
          <cell r="M445" t="str">
            <v xml:space="preserve">A8311:  Administrations publiques </v>
          </cell>
        </row>
        <row r="446">
          <cell r="M446" t="str">
            <v xml:space="preserve">A8312:  Banque centrale </v>
          </cell>
        </row>
        <row r="447">
          <cell r="M447" t="str">
            <v xml:space="preserve">A8313:  Autres institutions de dépôts </v>
          </cell>
        </row>
        <row r="448">
          <cell r="M448" t="str">
            <v xml:space="preserve">A8314:  Sociétés financières non classées ailleurs </v>
          </cell>
        </row>
        <row r="449">
          <cell r="M449" t="str">
            <v xml:space="preserve">A8315:  Sociétés non financières </v>
          </cell>
        </row>
        <row r="450">
          <cell r="M450" t="str">
            <v xml:space="preserve">A8316:  Ménages et institutions sans but lucratif au service des ménages </v>
          </cell>
        </row>
        <row r="451">
          <cell r="M451" t="str">
            <v xml:space="preserve">A832:  Extérieurs  (=332) </v>
          </cell>
        </row>
        <row r="452">
          <cell r="M452" t="str">
            <v xml:space="preserve">A8321:  Administrations publiques </v>
          </cell>
        </row>
        <row r="453">
          <cell r="M453" t="str">
            <v>A8327:  Organisations internationales</v>
          </cell>
        </row>
        <row r="454">
          <cell r="M454" t="str">
            <v xml:space="preserve">A8328:  Sociétés financières autres que les organisations internationales </v>
          </cell>
        </row>
        <row r="455">
          <cell r="M455" t="str">
            <v xml:space="preserve">A8329:  Autres non-résidents </v>
          </cell>
        </row>
        <row r="456">
          <cell r="M456" t="str">
            <v xml:space="preserve">A9:  VARIATION DE LA VALEUR NETTE: AUTRES FLUX ÉCONOMIQUES c/ </v>
          </cell>
        </row>
        <row r="457">
          <cell r="M457" t="str">
            <v xml:space="preserve">A91:  Actifs non financiers </v>
          </cell>
        </row>
        <row r="458">
          <cell r="M458" t="str">
            <v xml:space="preserve">A911:  Actifs fixes </v>
          </cell>
        </row>
        <row r="459">
          <cell r="M459" t="str">
            <v xml:space="preserve">A9111:  Bâtiments et ouvrages de génie civil </v>
          </cell>
        </row>
        <row r="460">
          <cell r="M460" t="str">
            <v xml:space="preserve">A9112:  Machines et equipement </v>
          </cell>
        </row>
        <row r="461">
          <cell r="M461" t="str">
            <v xml:space="preserve">A9113:  Autres actifs fixes </v>
          </cell>
        </row>
        <row r="462">
          <cell r="M462" t="str">
            <v xml:space="preserve">A912:  Stocks </v>
          </cell>
        </row>
        <row r="463">
          <cell r="M463" t="str">
            <v xml:space="preserve">A913:  Objets de valeur </v>
          </cell>
        </row>
        <row r="464">
          <cell r="M464" t="str">
            <v xml:space="preserve">A914:  Actifs non produits </v>
          </cell>
        </row>
        <row r="465">
          <cell r="M465" t="str">
            <v xml:space="preserve">A9141:  Terrains </v>
          </cell>
        </row>
        <row r="466">
          <cell r="M466" t="str">
            <v xml:space="preserve">A9142:  Gisements </v>
          </cell>
        </row>
        <row r="467">
          <cell r="M467" t="str">
            <v xml:space="preserve">A9143:  Autres actifs naturels </v>
          </cell>
        </row>
        <row r="468">
          <cell r="M468" t="str">
            <v xml:space="preserve">A9144:  Actifs incorporels non produits </v>
          </cell>
        </row>
        <row r="469">
          <cell r="M469" t="str">
            <v xml:space="preserve">A92:  Actifs financiers </v>
          </cell>
        </row>
        <row r="470">
          <cell r="M470" t="str">
            <v xml:space="preserve">A9202:  Numéraire et dépôts [9212+9222] </v>
          </cell>
        </row>
        <row r="471">
          <cell r="M471" t="str">
            <v xml:space="preserve">A9203:  Titres autres qu'actions [9213+9223] </v>
          </cell>
        </row>
        <row r="472">
          <cell r="M472" t="str">
            <v xml:space="preserve">A9204:  Crédits [9214+9224] </v>
          </cell>
        </row>
        <row r="473">
          <cell r="M473" t="str">
            <v xml:space="preserve">A9205:  Actions et autres participations [9215+9225] </v>
          </cell>
        </row>
        <row r="474">
          <cell r="M474" t="str">
            <v xml:space="preserve">A9206:  Réserves techniques d'assurance [9216+9226] </v>
          </cell>
        </row>
        <row r="475">
          <cell r="M475" t="str">
            <v xml:space="preserve">A9207:  Dérivés financiers [9217+9227] </v>
          </cell>
        </row>
        <row r="476">
          <cell r="M476" t="str">
            <v xml:space="preserve">A9208:  Autres comptes à recevoir [9218+9228] </v>
          </cell>
        </row>
        <row r="477">
          <cell r="M477" t="str">
            <v xml:space="preserve">A921:  Intérieurs </v>
          </cell>
        </row>
        <row r="478">
          <cell r="M478" t="str">
            <v xml:space="preserve">A9212:  Numéraire et dépôts </v>
          </cell>
        </row>
        <row r="479">
          <cell r="M479" t="str">
            <v xml:space="preserve">A9213:  Titres autres qu'actions </v>
          </cell>
        </row>
        <row r="480">
          <cell r="M480" t="str">
            <v xml:space="preserve">A9214:  Crédits </v>
          </cell>
        </row>
        <row r="481">
          <cell r="M481" t="str">
            <v xml:space="preserve">A9215:  Actions et autres participations </v>
          </cell>
        </row>
        <row r="482">
          <cell r="M482" t="str">
            <v>A9216:  Réserves techniques d'assurance</v>
          </cell>
        </row>
        <row r="483">
          <cell r="M483" t="str">
            <v xml:space="preserve">A9217:  Dérivés financiers </v>
          </cell>
        </row>
        <row r="484">
          <cell r="M484" t="str">
            <v xml:space="preserve">A9218:  Autres comptes à recevoir </v>
          </cell>
        </row>
        <row r="485">
          <cell r="M485" t="str">
            <v xml:space="preserve">A922:  Extérieurs </v>
          </cell>
        </row>
        <row r="486">
          <cell r="M486" t="str">
            <v xml:space="preserve">A9222:  Numéraire et dépôts </v>
          </cell>
        </row>
        <row r="487">
          <cell r="M487" t="str">
            <v>A9223:  Titres autres qu'actions</v>
          </cell>
        </row>
        <row r="488">
          <cell r="M488" t="str">
            <v>A9224:  Crédits</v>
          </cell>
        </row>
        <row r="489">
          <cell r="M489" t="str">
            <v>A9225:  Actions et autres participations</v>
          </cell>
        </row>
        <row r="490">
          <cell r="M490" t="str">
            <v>A9226:  Réserves techniques d'assurance</v>
          </cell>
        </row>
        <row r="491">
          <cell r="M491" t="str">
            <v xml:space="preserve">A9227:  Dérivés financiers </v>
          </cell>
        </row>
        <row r="492">
          <cell r="M492" t="str">
            <v xml:space="preserve">A9228:  Autres comptes à recevoir </v>
          </cell>
        </row>
        <row r="493">
          <cell r="M493" t="str">
            <v xml:space="preserve">A923:  Or monétaire et DTS </v>
          </cell>
        </row>
        <row r="494">
          <cell r="M494" t="str">
            <v xml:space="preserve">A93:  Passifs </v>
          </cell>
        </row>
        <row r="495">
          <cell r="M495" t="str">
            <v xml:space="preserve">A9301:  Droits de tirage spéciaux (DTS) [9321] </v>
          </cell>
        </row>
        <row r="496">
          <cell r="M496" t="str">
            <v xml:space="preserve">A9302:  Numéraire et dépôts [9312+9322] </v>
          </cell>
        </row>
        <row r="497">
          <cell r="M497" t="str">
            <v xml:space="preserve">A9303:  Titres autres qu'actions [9313+9323] </v>
          </cell>
        </row>
        <row r="498">
          <cell r="M498" t="str">
            <v xml:space="preserve">A9304:  Crédits [9314+9324] </v>
          </cell>
        </row>
        <row r="499">
          <cell r="M499" t="str">
            <v xml:space="preserve">A9305:  Actions et autres participations [9315+9325] </v>
          </cell>
        </row>
        <row r="500">
          <cell r="M500" t="str">
            <v xml:space="preserve">A9306:  Réserves techniques d'assurance [9316+9326] </v>
          </cell>
        </row>
        <row r="501">
          <cell r="M501" t="str">
            <v xml:space="preserve">A9307:  Dérivés financiers [9317+9327] </v>
          </cell>
        </row>
        <row r="502">
          <cell r="M502" t="str">
            <v xml:space="preserve">A9308:  Autres comptes à payer [9318+9328] </v>
          </cell>
        </row>
        <row r="503">
          <cell r="M503" t="str">
            <v xml:space="preserve">A931:  Intérieurs </v>
          </cell>
        </row>
        <row r="504">
          <cell r="M504" t="str">
            <v xml:space="preserve">A9312:  Numéraire et dépôts </v>
          </cell>
        </row>
        <row r="505">
          <cell r="M505" t="str">
            <v xml:space="preserve">A9313:  Titres autres qu'actions </v>
          </cell>
        </row>
        <row r="506">
          <cell r="M506" t="str">
            <v xml:space="preserve">A9314:  Crédits </v>
          </cell>
        </row>
        <row r="507">
          <cell r="M507" t="str">
            <v>A9315:  Actions et autres participations</v>
          </cell>
        </row>
        <row r="508">
          <cell r="M508" t="str">
            <v>A9316:  Réserves techniques d'assurance</v>
          </cell>
        </row>
        <row r="509">
          <cell r="M509" t="str">
            <v xml:space="preserve">A9317:  Dérivés financiers </v>
          </cell>
        </row>
        <row r="510">
          <cell r="M510" t="str">
            <v xml:space="preserve">A9318:  Autres comptes à payer </v>
          </cell>
        </row>
        <row r="511">
          <cell r="M511" t="str">
            <v xml:space="preserve">A932:  Extérieurs </v>
          </cell>
        </row>
        <row r="512">
          <cell r="M512" t="str">
            <v xml:space="preserve">A9321:  Droits de tirage spéciaux (DTS) </v>
          </cell>
        </row>
        <row r="513">
          <cell r="M513" t="str">
            <v xml:space="preserve">A9322:  Numéraire et dépôts </v>
          </cell>
        </row>
        <row r="514">
          <cell r="M514" t="str">
            <v xml:space="preserve">A9323:  Titres autres qu'actions </v>
          </cell>
        </row>
        <row r="515">
          <cell r="M515" t="str">
            <v xml:space="preserve">A9324:  Crédits </v>
          </cell>
        </row>
        <row r="516">
          <cell r="M516" t="str">
            <v>A9325:  Actions et autres participations</v>
          </cell>
        </row>
        <row r="517">
          <cell r="M517" t="str">
            <v>A9326:  Réserves techniques d'assurance</v>
          </cell>
        </row>
        <row r="518">
          <cell r="M518" t="str">
            <v xml:space="preserve">A9327:  Dérivés financiers </v>
          </cell>
        </row>
        <row r="519">
          <cell r="M519" t="str">
            <v xml:space="preserve">A9328:  Autres comptes à payer 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Rs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pCoefs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èses"/>
      <sheetName val="Sortie"/>
      <sheetName val="Indicateurs"/>
      <sheetName val="TOFE"/>
      <sheetName val="BP détaillée"/>
      <sheetName val="BOP"/>
      <sheetName val="PIB"/>
      <sheetName val="PIB constant"/>
      <sheetName val="Data-pre"/>
      <sheetName val="Feuil1"/>
      <sheetName val="Equilibre emplois - ressources"/>
      <sheetName val="Epargne - Investisement"/>
      <sheetName val="Dette"/>
      <sheetName val="monnaie"/>
      <sheetName val="Energie+Coton"/>
      <sheetName val="Agriculture"/>
      <sheetName val="Cce intra"/>
      <sheetName val="Tableau des flux"/>
    </sheetNames>
    <sheetDataSet>
      <sheetData sheetId="0" refreshError="1"/>
      <sheetData sheetId="1" refreshError="1"/>
      <sheetData sheetId="2">
        <row r="6">
          <cell r="C6">
            <v>1985</v>
          </cell>
          <cell r="D6">
            <v>1986</v>
          </cell>
          <cell r="E6">
            <v>1987</v>
          </cell>
          <cell r="F6">
            <v>1988</v>
          </cell>
          <cell r="G6">
            <v>1989</v>
          </cell>
          <cell r="H6">
            <v>1990</v>
          </cell>
          <cell r="I6">
            <v>1991</v>
          </cell>
          <cell r="J6">
            <v>1992</v>
          </cell>
          <cell r="K6">
            <v>1993</v>
          </cell>
          <cell r="L6">
            <v>1994</v>
          </cell>
          <cell r="M6">
            <v>1995</v>
          </cell>
          <cell r="N6">
            <v>1996</v>
          </cell>
          <cell r="O6">
            <v>1997</v>
          </cell>
          <cell r="P6">
            <v>1998</v>
          </cell>
          <cell r="Q6">
            <v>1999</v>
          </cell>
          <cell r="R6">
            <v>2000</v>
          </cell>
          <cell r="S6">
            <v>2001</v>
          </cell>
          <cell r="T6">
            <v>2002</v>
          </cell>
          <cell r="U6">
            <v>2003</v>
          </cell>
          <cell r="V6">
            <v>2004</v>
          </cell>
          <cell r="W6">
            <v>2005</v>
          </cell>
          <cell r="X6">
            <v>2006</v>
          </cell>
          <cell r="Y6">
            <v>2007</v>
          </cell>
          <cell r="Z6">
            <v>2008</v>
          </cell>
          <cell r="AA6">
            <v>2009</v>
          </cell>
          <cell r="AB6">
            <v>2010</v>
          </cell>
          <cell r="AC6">
            <v>2011</v>
          </cell>
          <cell r="AD6">
            <v>2012</v>
          </cell>
          <cell r="AE6">
            <v>2013</v>
          </cell>
          <cell r="AF6">
            <v>2014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teur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èses"/>
      <sheetName val="Sortie FMI"/>
      <sheetName val="TB UEMOA"/>
      <sheetName val="Indicateurs"/>
      <sheetName val="Sortie"/>
      <sheetName val="Finances Publiques"/>
      <sheetName val="Finances Publiques(financement)"/>
      <sheetName val="TOFE"/>
      <sheetName val="Budget"/>
      <sheetName val="balance des payements"/>
      <sheetName val="Recettes détaillées"/>
      <sheetName val="Dépenses Détaillées"/>
      <sheetName val="Dépenses sectorielles"/>
      <sheetName val="Structure sectorielles"/>
      <sheetName val="TOFE Recettes - dépenses"/>
      <sheetName val="TOFE Financement"/>
      <sheetName val="Balance des paiements"/>
      <sheetName val="BP détaillée"/>
      <sheetName val="BP-FMI"/>
      <sheetName val="BIPEN 2001"/>
      <sheetName val="BIPEN 2001 (2)"/>
      <sheetName val="PIB courant"/>
      <sheetName val="PIB constant"/>
      <sheetName val="Epargne - Investisement 1"/>
      <sheetName val="Epargne - Investisement"/>
      <sheetName val="Equilibre emplois - ressources"/>
      <sheetName val="Monnaie"/>
      <sheetName val="Dette"/>
      <sheetName val="SBB_CORRIGE"/>
      <sheetName val="comerce intra communautaire"/>
      <sheetName val="Energie+Coton"/>
      <sheetName val="Feuil1"/>
      <sheetName val="Tableau des flux"/>
      <sheetName val="UEMOA"/>
      <sheetName val="Feuil3"/>
      <sheetName val="dette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C11">
            <v>-44.898600000000002</v>
          </cell>
          <cell r="D11">
            <v>-43.3506</v>
          </cell>
          <cell r="E11">
            <v>-21.262</v>
          </cell>
          <cell r="F11">
            <v>-24.496200000000002</v>
          </cell>
          <cell r="G11">
            <v>-87.585600000000014</v>
          </cell>
          <cell r="H11">
            <v>-59.530299999999997</v>
          </cell>
          <cell r="I11">
            <v>-50.346699999999998</v>
          </cell>
          <cell r="J11">
            <v>-36.600000000000023</v>
          </cell>
          <cell r="K11">
            <v>-76</v>
          </cell>
          <cell r="L11">
            <v>-63.299999999999983</v>
          </cell>
          <cell r="M11">
            <v>-75.300000000000011</v>
          </cell>
          <cell r="N11">
            <v>-93.371603999999991</v>
          </cell>
          <cell r="O11">
            <v>-131.59627599999999</v>
          </cell>
          <cell r="P11">
            <v>-88.106720999999936</v>
          </cell>
          <cell r="Q11">
            <v>-131.52555000000007</v>
          </cell>
          <cell r="R11">
            <v>-160.976983152</v>
          </cell>
          <cell r="S11">
            <v>-161.49849999999992</v>
          </cell>
          <cell r="T11">
            <v>300.30700000000002</v>
          </cell>
        </row>
        <row r="12">
          <cell r="C12">
            <v>78.257999999999996</v>
          </cell>
          <cell r="D12">
            <v>55.341999999999999</v>
          </cell>
          <cell r="E12">
            <v>58.671999999999997</v>
          </cell>
          <cell r="F12">
            <v>63.5458</v>
          </cell>
          <cell r="G12">
            <v>102.3763</v>
          </cell>
          <cell r="H12">
            <v>88.839500000000001</v>
          </cell>
          <cell r="I12">
            <v>108.60890000000001</v>
          </cell>
          <cell r="J12">
            <v>171.2</v>
          </cell>
          <cell r="K12">
            <v>202.2</v>
          </cell>
          <cell r="L12">
            <v>216.9</v>
          </cell>
          <cell r="M12">
            <v>233.2</v>
          </cell>
          <cell r="N12">
            <v>244.39600000000002</v>
          </cell>
          <cell r="O12">
            <v>259.47309999999999</v>
          </cell>
          <cell r="P12">
            <v>279.29479600000002</v>
          </cell>
          <cell r="Q12">
            <v>273.87437999999997</v>
          </cell>
          <cell r="R12">
            <v>312.14702160000002</v>
          </cell>
          <cell r="S12">
            <v>314.26880000000006</v>
          </cell>
          <cell r="T12">
            <v>300.30700000000002</v>
          </cell>
        </row>
        <row r="13">
          <cell r="C13">
            <v>123.1566</v>
          </cell>
          <cell r="D13">
            <v>98.692599999999999</v>
          </cell>
          <cell r="E13">
            <v>79.933999999999997</v>
          </cell>
          <cell r="F13">
            <v>88.042000000000002</v>
          </cell>
          <cell r="G13">
            <v>189.96190000000001</v>
          </cell>
          <cell r="H13">
            <v>148.3698</v>
          </cell>
          <cell r="I13">
            <v>158.9556</v>
          </cell>
          <cell r="J13">
            <v>207.8</v>
          </cell>
          <cell r="K13">
            <v>278.2</v>
          </cell>
          <cell r="L13">
            <v>280.2</v>
          </cell>
          <cell r="M13">
            <v>308.5</v>
          </cell>
          <cell r="N13">
            <v>337.76760400000001</v>
          </cell>
          <cell r="O13">
            <v>391.06937599999998</v>
          </cell>
          <cell r="P13">
            <v>367.40151699999996</v>
          </cell>
          <cell r="Q13">
            <v>405.39993000000004</v>
          </cell>
          <cell r="R13">
            <v>473.12400475200002</v>
          </cell>
          <cell r="S13">
            <v>475.76729999999998</v>
          </cell>
          <cell r="T13">
            <v>0</v>
          </cell>
        </row>
        <row r="16">
          <cell r="C16">
            <v>-14.6738</v>
          </cell>
          <cell r="D16">
            <v>-11.944800000000001</v>
          </cell>
          <cell r="E16">
            <v>-14.3934</v>
          </cell>
          <cell r="F16">
            <v>-6.9749999999999996</v>
          </cell>
          <cell r="G16">
            <v>-13.641999999999999</v>
          </cell>
          <cell r="H16">
            <v>-3.6124000000000001</v>
          </cell>
          <cell r="I16">
            <v>-3.85</v>
          </cell>
          <cell r="J16">
            <v>-34.9</v>
          </cell>
          <cell r="K16">
            <v>-40.199999999999996</v>
          </cell>
          <cell r="L16">
            <v>-54.3</v>
          </cell>
          <cell r="M16">
            <v>-47.4</v>
          </cell>
          <cell r="N16">
            <v>-74.778495000000007</v>
          </cell>
          <cell r="O16">
            <v>-30.700000000000017</v>
          </cell>
          <cell r="P16">
            <v>-48.3</v>
          </cell>
          <cell r="Q16">
            <v>-42.644000000000013</v>
          </cell>
          <cell r="R16">
            <v>-57.485000000000014</v>
          </cell>
          <cell r="S16">
            <v>-69.571999999999989</v>
          </cell>
          <cell r="T16">
            <v>-57.441000000000045</v>
          </cell>
        </row>
        <row r="18">
          <cell r="C18">
            <v>-9.3164000000000016</v>
          </cell>
          <cell r="D18">
            <v>-1.9594000000000165</v>
          </cell>
          <cell r="E18">
            <v>-5.9174000000000007</v>
          </cell>
          <cell r="F18">
            <v>7.7907999999999991</v>
          </cell>
          <cell r="G18">
            <v>-48.888600000000011</v>
          </cell>
          <cell r="H18">
            <v>-7.4246999999999934</v>
          </cell>
          <cell r="I18">
            <v>-7.0246999999999868</v>
          </cell>
          <cell r="J18">
            <v>-19.5</v>
          </cell>
          <cell r="K18">
            <v>-22.1</v>
          </cell>
          <cell r="L18">
            <v>-23.5</v>
          </cell>
          <cell r="M18">
            <v>-17.399999999999999</v>
          </cell>
          <cell r="N18">
            <v>-7.9</v>
          </cell>
          <cell r="O18">
            <v>-7.0000000000000018</v>
          </cell>
          <cell r="P18">
            <v>-8.7000000000000011</v>
          </cell>
          <cell r="Q18">
            <v>-9.8289999999999988</v>
          </cell>
          <cell r="R18">
            <v>-18.013000000000002</v>
          </cell>
          <cell r="S18">
            <v>-22.14</v>
          </cell>
          <cell r="T18">
            <v>-19.647000000000002</v>
          </cell>
        </row>
        <row r="19">
          <cell r="C19">
            <v>-5.3573999999999984</v>
          </cell>
          <cell r="D19">
            <v>-9.9853999999999843</v>
          </cell>
          <cell r="E19">
            <v>-8.4759999999999991</v>
          </cell>
          <cell r="F19">
            <v>-14.765799999999999</v>
          </cell>
          <cell r="G19">
            <v>35.246600000000015</v>
          </cell>
          <cell r="H19">
            <v>3.8122999999999934</v>
          </cell>
          <cell r="I19">
            <v>3.1746999999999872</v>
          </cell>
          <cell r="J19">
            <v>-15.399999999999999</v>
          </cell>
          <cell r="K19">
            <v>-18.099999999999994</v>
          </cell>
          <cell r="L19">
            <v>-30.799999999999997</v>
          </cell>
          <cell r="M19">
            <v>-30</v>
          </cell>
          <cell r="N19">
            <v>-66.878495000000001</v>
          </cell>
          <cell r="O19">
            <v>-23.700000000000017</v>
          </cell>
          <cell r="P19">
            <v>-39.599999999999994</v>
          </cell>
          <cell r="Q19">
            <v>-32.815000000000012</v>
          </cell>
          <cell r="R19">
            <v>-39.472000000000008</v>
          </cell>
          <cell r="S19">
            <v>-47.431999999999988</v>
          </cell>
          <cell r="T19">
            <v>-37.79400000000004</v>
          </cell>
        </row>
        <row r="20">
          <cell r="C20">
            <v>50.471999999999994</v>
          </cell>
          <cell r="D20">
            <v>38.087000000000003</v>
          </cell>
          <cell r="E20">
            <v>28.956000000000003</v>
          </cell>
          <cell r="F20">
            <v>38.811199999999999</v>
          </cell>
          <cell r="G20">
            <v>15.318699999999993</v>
          </cell>
          <cell r="H20">
            <v>32.026499999999999</v>
          </cell>
          <cell r="I20">
            <v>9.3930999999999898</v>
          </cell>
          <cell r="J20">
            <v>57.1</v>
          </cell>
          <cell r="K20">
            <v>69.2</v>
          </cell>
          <cell r="L20">
            <v>69.3</v>
          </cell>
          <cell r="M20">
            <v>77.5</v>
          </cell>
          <cell r="N20">
            <v>46.03</v>
          </cell>
          <cell r="O20">
            <v>108.79999999999998</v>
          </cell>
          <cell r="P20">
            <v>96.800000000000011</v>
          </cell>
          <cell r="Q20">
            <v>107.854</v>
          </cell>
          <cell r="R20">
            <v>106.07000000000002</v>
          </cell>
          <cell r="S20">
            <v>100.155</v>
          </cell>
          <cell r="T20">
            <v>113.89699999999999</v>
          </cell>
        </row>
        <row r="21">
          <cell r="C21">
            <v>-55.829399999999993</v>
          </cell>
          <cell r="D21">
            <v>-48.072399999999988</v>
          </cell>
          <cell r="E21">
            <v>-37.432000000000002</v>
          </cell>
          <cell r="F21">
            <v>-53.576999999999998</v>
          </cell>
          <cell r="G21">
            <v>19.927900000000022</v>
          </cell>
          <cell r="H21">
            <v>-28.214200000000005</v>
          </cell>
          <cell r="I21">
            <v>-6.2184000000000026</v>
          </cell>
          <cell r="J21">
            <v>-72.5</v>
          </cell>
          <cell r="K21">
            <v>-87.3</v>
          </cell>
          <cell r="L21">
            <v>-100.1</v>
          </cell>
          <cell r="M21">
            <v>-107.5</v>
          </cell>
          <cell r="N21">
            <v>-112.908495</v>
          </cell>
          <cell r="O21">
            <v>-132.5</v>
          </cell>
          <cell r="P21">
            <v>-136.4</v>
          </cell>
          <cell r="Q21">
            <v>-140.66900000000001</v>
          </cell>
          <cell r="R21">
            <v>-145.54200000000003</v>
          </cell>
          <cell r="S21">
            <v>-147.58699999999999</v>
          </cell>
          <cell r="T21">
            <v>-151.69100000000003</v>
          </cell>
        </row>
        <row r="25">
          <cell r="C25">
            <v>32.961399999999998</v>
          </cell>
          <cell r="D25">
            <v>28.305599999999998</v>
          </cell>
          <cell r="E25">
            <v>-69.331299999999999</v>
          </cell>
          <cell r="F25">
            <v>42.570900000000002</v>
          </cell>
          <cell r="G25">
            <v>69.462000000000003</v>
          </cell>
          <cell r="H25">
            <v>16.983399999999996</v>
          </cell>
          <cell r="I25">
            <v>41.315200000000004</v>
          </cell>
          <cell r="J25">
            <v>49.5</v>
          </cell>
          <cell r="K25">
            <v>52.2</v>
          </cell>
          <cell r="L25">
            <v>58.9</v>
          </cell>
          <cell r="M25">
            <v>58.2</v>
          </cell>
          <cell r="N25">
            <v>52.1</v>
          </cell>
          <cell r="O25">
            <v>66.5</v>
          </cell>
          <cell r="P25">
            <v>79.099999999999994</v>
          </cell>
          <cell r="Q25">
            <v>119.161</v>
          </cell>
          <cell r="R25">
            <v>109.66300000000001</v>
          </cell>
          <cell r="S25">
            <v>38.588000000000001</v>
          </cell>
          <cell r="T25">
            <v>49.384999999999998</v>
          </cell>
        </row>
        <row r="26">
          <cell r="C26">
            <v>50.141399999999997</v>
          </cell>
          <cell r="D26">
            <v>49.885599999999997</v>
          </cell>
          <cell r="E26">
            <v>59.768700000000003</v>
          </cell>
          <cell r="F26">
            <v>60.4709</v>
          </cell>
          <cell r="G26">
            <v>104.462</v>
          </cell>
          <cell r="H26">
            <v>64.883399999999995</v>
          </cell>
          <cell r="I26">
            <v>59.615200000000002</v>
          </cell>
        </row>
        <row r="27">
          <cell r="J27">
            <v>21.5</v>
          </cell>
          <cell r="K27">
            <v>18.2</v>
          </cell>
          <cell r="L27">
            <v>24.6</v>
          </cell>
          <cell r="M27">
            <v>16.2</v>
          </cell>
          <cell r="N27">
            <v>9.8999999999999986</v>
          </cell>
          <cell r="O27">
            <v>21.2</v>
          </cell>
          <cell r="P27">
            <v>19.599999999999998</v>
          </cell>
          <cell r="Q27">
            <v>61.1</v>
          </cell>
          <cell r="R27">
            <v>54.4</v>
          </cell>
          <cell r="S27">
            <v>8.775999999999998</v>
          </cell>
          <cell r="T27">
            <v>13.286000000000001</v>
          </cell>
        </row>
        <row r="28">
          <cell r="J28">
            <v>28</v>
          </cell>
          <cell r="K28">
            <v>34</v>
          </cell>
          <cell r="L28">
            <v>34.299999999999997</v>
          </cell>
          <cell r="M28">
            <v>42</v>
          </cell>
          <cell r="N28">
            <v>42.2</v>
          </cell>
          <cell r="O28">
            <v>45.3</v>
          </cell>
          <cell r="P28">
            <v>59.499999999999993</v>
          </cell>
          <cell r="Q28">
            <v>58.061</v>
          </cell>
          <cell r="R28">
            <v>55.263000000000005</v>
          </cell>
          <cell r="S28">
            <v>29.812000000000001</v>
          </cell>
          <cell r="T28">
            <v>36.098999999999997</v>
          </cell>
        </row>
        <row r="30">
          <cell r="C30">
            <v>-26.611000000000004</v>
          </cell>
          <cell r="D30">
            <v>-26.989800000000002</v>
          </cell>
          <cell r="E30">
            <v>-104.9867</v>
          </cell>
          <cell r="F30">
            <v>11.099699999999999</v>
          </cell>
          <cell r="G30">
            <v>-31.765600000000006</v>
          </cell>
          <cell r="H30">
            <v>-46.159300000000002</v>
          </cell>
          <cell r="I30">
            <v>-12.881499999999996</v>
          </cell>
          <cell r="J30">
            <v>-22.000000000000028</v>
          </cell>
          <cell r="K30">
            <v>-63.999999999999986</v>
          </cell>
          <cell r="L30">
            <v>-58.699999999999982</v>
          </cell>
          <cell r="M30">
            <v>-64.500000000000014</v>
          </cell>
          <cell r="N30">
            <v>-116.05009900000002</v>
          </cell>
          <cell r="O30">
            <v>-95.796276000000006</v>
          </cell>
          <cell r="P30">
            <v>-57.306720999999953</v>
          </cell>
          <cell r="Q30">
            <v>-55.008550000000071</v>
          </cell>
          <cell r="R30">
            <v>-108.79898315200001</v>
          </cell>
          <cell r="S30">
            <v>-192.48249999999993</v>
          </cell>
          <cell r="T30">
            <v>292.25099999999998</v>
          </cell>
        </row>
        <row r="31">
          <cell r="C31">
            <v>-26.611000000000004</v>
          </cell>
          <cell r="D31">
            <v>-26.989800000000002</v>
          </cell>
          <cell r="E31">
            <v>-104.9867</v>
          </cell>
          <cell r="F31">
            <v>11.099699999999999</v>
          </cell>
          <cell r="G31">
            <v>-31.765600000000006</v>
          </cell>
          <cell r="H31">
            <v>-46.159300000000002</v>
          </cell>
          <cell r="I31">
            <v>-12.881499999999996</v>
          </cell>
          <cell r="J31">
            <v>-43.500000000000028</v>
          </cell>
          <cell r="K31">
            <v>-82.199999999999989</v>
          </cell>
          <cell r="L31">
            <v>-83.299999999999983</v>
          </cell>
          <cell r="M31">
            <v>-80.700000000000017</v>
          </cell>
          <cell r="N31">
            <v>-125.95009900000002</v>
          </cell>
          <cell r="O31">
            <v>-116.99627600000001</v>
          </cell>
          <cell r="P31">
            <v>-76.906720999999948</v>
          </cell>
          <cell r="Q31">
            <v>-116.10855000000006</v>
          </cell>
          <cell r="R31">
            <v>-163.19898315200001</v>
          </cell>
          <cell r="S31">
            <v>-201.25849999999994</v>
          </cell>
          <cell r="T31">
            <v>278.96499999999997</v>
          </cell>
        </row>
        <row r="33">
          <cell r="C33">
            <v>17.18</v>
          </cell>
          <cell r="D33">
            <v>21.58</v>
          </cell>
          <cell r="E33">
            <v>129.1</v>
          </cell>
          <cell r="F33">
            <v>17.899999999999999</v>
          </cell>
          <cell r="G33">
            <v>35</v>
          </cell>
          <cell r="H33">
            <v>47.9</v>
          </cell>
          <cell r="I33">
            <v>18.3</v>
          </cell>
          <cell r="J33">
            <v>30.900000000000002</v>
          </cell>
          <cell r="K33">
            <v>37</v>
          </cell>
          <cell r="L33">
            <v>30.700000000000003</v>
          </cell>
          <cell r="M33">
            <v>49.1</v>
          </cell>
          <cell r="N33">
            <v>39.299999999999997</v>
          </cell>
          <cell r="O33">
            <v>43.050000000000004</v>
          </cell>
          <cell r="P33">
            <v>52.25</v>
          </cell>
          <cell r="Q33">
            <v>47.387999999999998</v>
          </cell>
          <cell r="R33">
            <v>40.246000000000002</v>
          </cell>
          <cell r="S33">
            <v>35.6</v>
          </cell>
          <cell r="T33">
            <v>39.5</v>
          </cell>
        </row>
        <row r="34">
          <cell r="C34">
            <v>17.18</v>
          </cell>
          <cell r="D34">
            <v>21.58</v>
          </cell>
          <cell r="E34">
            <v>129.1</v>
          </cell>
          <cell r="F34">
            <v>17.899999999999999</v>
          </cell>
          <cell r="G34">
            <v>35</v>
          </cell>
          <cell r="H34">
            <v>47.9</v>
          </cell>
          <cell r="I34">
            <v>18.3</v>
          </cell>
          <cell r="J34">
            <v>30.900000000000002</v>
          </cell>
          <cell r="K34">
            <v>37</v>
          </cell>
          <cell r="L34">
            <v>30.700000000000003</v>
          </cell>
          <cell r="M34">
            <v>49.1</v>
          </cell>
          <cell r="N34">
            <v>36.799999999999997</v>
          </cell>
          <cell r="O34">
            <v>39.6</v>
          </cell>
          <cell r="P34">
            <v>48.8</v>
          </cell>
          <cell r="Q34">
            <v>47.387999999999998</v>
          </cell>
          <cell r="R34">
            <v>40.246000000000002</v>
          </cell>
          <cell r="S34">
            <v>35.6</v>
          </cell>
          <cell r="T34">
            <v>39.5</v>
          </cell>
        </row>
        <row r="35">
          <cell r="C35">
            <v>17.18</v>
          </cell>
          <cell r="D35">
            <v>21.58</v>
          </cell>
          <cell r="E35">
            <v>29.7</v>
          </cell>
          <cell r="F35">
            <v>12</v>
          </cell>
          <cell r="G35">
            <v>8.8000000000000007</v>
          </cell>
          <cell r="H35">
            <v>9.4</v>
          </cell>
          <cell r="I35">
            <v>10.4</v>
          </cell>
          <cell r="J35">
            <v>30.3</v>
          </cell>
          <cell r="K35">
            <v>35.200000000000003</v>
          </cell>
          <cell r="L35">
            <v>28.6</v>
          </cell>
          <cell r="M35">
            <v>49.1</v>
          </cell>
          <cell r="N35">
            <v>36.799999999999997</v>
          </cell>
          <cell r="O35">
            <v>39.6</v>
          </cell>
          <cell r="P35">
            <v>32.299999999999997</v>
          </cell>
          <cell r="Q35">
            <v>31.709</v>
          </cell>
          <cell r="R35">
            <v>22.452000000000002</v>
          </cell>
          <cell r="S35">
            <v>18.600000000000001</v>
          </cell>
          <cell r="T35">
            <v>24.249000000000002</v>
          </cell>
        </row>
        <row r="36">
          <cell r="C36">
            <v>0</v>
          </cell>
          <cell r="D36">
            <v>0</v>
          </cell>
          <cell r="E36">
            <v>99.4</v>
          </cell>
          <cell r="F36">
            <v>5.9</v>
          </cell>
          <cell r="G36">
            <v>26.2</v>
          </cell>
          <cell r="H36">
            <v>38.5</v>
          </cell>
          <cell r="I36">
            <v>7.9</v>
          </cell>
          <cell r="J36">
            <v>0.6</v>
          </cell>
          <cell r="K36">
            <v>1.8</v>
          </cell>
          <cell r="L36">
            <v>2.1</v>
          </cell>
          <cell r="M36">
            <v>0</v>
          </cell>
          <cell r="N36">
            <v>0</v>
          </cell>
          <cell r="O36">
            <v>0</v>
          </cell>
          <cell r="P36">
            <v>16.5</v>
          </cell>
          <cell r="Q36">
            <v>15.679</v>
          </cell>
          <cell r="R36">
            <v>17.794</v>
          </cell>
          <cell r="S36">
            <v>17</v>
          </cell>
          <cell r="T36">
            <v>15.250999999999999</v>
          </cell>
        </row>
        <row r="37">
          <cell r="N37">
            <v>2.5</v>
          </cell>
          <cell r="O37">
            <v>3.45</v>
          </cell>
          <cell r="P37">
            <v>3.45</v>
          </cell>
          <cell r="Q37">
            <v>3.899</v>
          </cell>
          <cell r="R37">
            <v>3.78</v>
          </cell>
          <cell r="S37">
            <v>1.4</v>
          </cell>
          <cell r="T37">
            <v>3.0140000000000002</v>
          </cell>
        </row>
        <row r="39">
          <cell r="C39">
            <v>-35.692799999999998</v>
          </cell>
          <cell r="D39">
            <v>-26.035</v>
          </cell>
          <cell r="E39">
            <v>20.024900000000002</v>
          </cell>
          <cell r="F39">
            <v>21.572199999999999</v>
          </cell>
          <cell r="G39">
            <v>60.126100000000001</v>
          </cell>
          <cell r="H39">
            <v>42.448799999999999</v>
          </cell>
          <cell r="I39">
            <v>-5.3758999999999997</v>
          </cell>
          <cell r="J39">
            <v>12.7</v>
          </cell>
          <cell r="K39">
            <v>-2.4999999999999929</v>
          </cell>
          <cell r="L39">
            <v>39.799999999999997</v>
          </cell>
          <cell r="M39">
            <v>15.799999999999997</v>
          </cell>
          <cell r="N39">
            <v>21.624999999999996</v>
          </cell>
          <cell r="O39">
            <v>67.337999999999994</v>
          </cell>
          <cell r="P39">
            <v>73.349999999999994</v>
          </cell>
          <cell r="Q39">
            <v>90.044779562000016</v>
          </cell>
          <cell r="R39">
            <v>10.961999999999998</v>
          </cell>
          <cell r="S39">
            <v>131.6618</v>
          </cell>
          <cell r="T39">
            <v>49.008000000000003</v>
          </cell>
        </row>
        <row r="40">
          <cell r="C40">
            <v>-29.8569</v>
          </cell>
          <cell r="D40">
            <v>-20.504000000000001</v>
          </cell>
          <cell r="E40">
            <v>35.462900000000005</v>
          </cell>
          <cell r="F40">
            <v>14.561199999999999</v>
          </cell>
          <cell r="G40">
            <v>76.908900000000003</v>
          </cell>
          <cell r="H40">
            <v>31.280499999999996</v>
          </cell>
          <cell r="I40">
            <v>-4.8168999999999995</v>
          </cell>
          <cell r="J40">
            <v>4.2</v>
          </cell>
          <cell r="K40">
            <v>2</v>
          </cell>
          <cell r="L40">
            <v>-3.2</v>
          </cell>
          <cell r="M40">
            <v>11</v>
          </cell>
          <cell r="N40">
            <v>0.82999999999999829</v>
          </cell>
          <cell r="O40">
            <v>47.578999999999994</v>
          </cell>
          <cell r="P40">
            <v>53.2</v>
          </cell>
          <cell r="Q40">
            <v>30.46</v>
          </cell>
          <cell r="R40">
            <v>-7.1570000000000036</v>
          </cell>
          <cell r="S40">
            <v>26.870799999999999</v>
          </cell>
          <cell r="T40">
            <v>16.460999999999999</v>
          </cell>
        </row>
        <row r="41">
          <cell r="C41">
            <v>-13.8628</v>
          </cell>
          <cell r="D41">
            <v>-10.616300000000001</v>
          </cell>
          <cell r="E41">
            <v>9.2512000000000008</v>
          </cell>
          <cell r="F41">
            <v>9.7655999999999992</v>
          </cell>
          <cell r="G41">
            <v>36.0623</v>
          </cell>
          <cell r="H41">
            <v>20.125399999999999</v>
          </cell>
          <cell r="I41">
            <v>-0.64759999999999995</v>
          </cell>
          <cell r="J41">
            <v>6.6661000000000001</v>
          </cell>
          <cell r="K41">
            <v>2</v>
          </cell>
          <cell r="L41">
            <v>-3.2</v>
          </cell>
          <cell r="M41">
            <v>7.2</v>
          </cell>
          <cell r="N41">
            <v>-18.47</v>
          </cell>
          <cell r="O41">
            <v>24.292999999999992</v>
          </cell>
          <cell r="P41">
            <v>13.200000000000003</v>
          </cell>
          <cell r="Q41">
            <v>0</v>
          </cell>
          <cell r="R41">
            <v>-15.657000000000004</v>
          </cell>
          <cell r="S41">
            <v>1.0557999999999979</v>
          </cell>
          <cell r="T41">
            <v>-17.959000000000003</v>
          </cell>
        </row>
        <row r="42">
          <cell r="C42">
            <v>-15.9941</v>
          </cell>
          <cell r="D42">
            <v>-9.8877000000000006</v>
          </cell>
          <cell r="E42">
            <v>26.2117</v>
          </cell>
          <cell r="F42">
            <v>4.7956000000000003</v>
          </cell>
          <cell r="G42">
            <v>40.846600000000002</v>
          </cell>
          <cell r="H42">
            <v>11.155099999999999</v>
          </cell>
          <cell r="I42">
            <v>-4.1692999999999998</v>
          </cell>
          <cell r="J42">
            <v>29.648299999999999</v>
          </cell>
          <cell r="K42">
            <v>-5.0999999999999996</v>
          </cell>
          <cell r="L42">
            <v>16.5</v>
          </cell>
          <cell r="M42">
            <v>11.7</v>
          </cell>
          <cell r="N42">
            <v>19.299999999999997</v>
          </cell>
          <cell r="O42">
            <v>23.286000000000001</v>
          </cell>
          <cell r="P42">
            <v>40</v>
          </cell>
          <cell r="Q42">
            <v>30.46</v>
          </cell>
          <cell r="R42">
            <v>8.5</v>
          </cell>
          <cell r="S42">
            <v>25.815000000000001</v>
          </cell>
          <cell r="T42">
            <v>34.42</v>
          </cell>
        </row>
        <row r="43">
          <cell r="C43">
            <v>-5.8358999999999996</v>
          </cell>
          <cell r="D43">
            <v>-5.5309999999999997</v>
          </cell>
          <cell r="E43">
            <v>-15.438000000000001</v>
          </cell>
          <cell r="F43">
            <v>7.0110000000000001</v>
          </cell>
          <cell r="G43">
            <v>-16.782800000000002</v>
          </cell>
          <cell r="H43">
            <v>11.1683</v>
          </cell>
          <cell r="I43">
            <v>-0.55900000000000005</v>
          </cell>
          <cell r="J43">
            <v>23.7</v>
          </cell>
          <cell r="K43">
            <v>30.6</v>
          </cell>
          <cell r="L43">
            <v>38.200000000000003</v>
          </cell>
          <cell r="M43">
            <v>10.3</v>
          </cell>
          <cell r="N43">
            <v>0.89999999999999858</v>
          </cell>
          <cell r="O43">
            <v>4.2749999999999986</v>
          </cell>
          <cell r="P43">
            <v>17.399999999999999</v>
          </cell>
          <cell r="Q43">
            <v>61.325000000000003</v>
          </cell>
          <cell r="R43">
            <v>15.896000000000001</v>
          </cell>
          <cell r="S43">
            <v>-0.50899999999999679</v>
          </cell>
          <cell r="T43">
            <v>54.891000000000005</v>
          </cell>
        </row>
        <row r="44">
          <cell r="J44">
            <v>-15.2</v>
          </cell>
          <cell r="K44">
            <v>-35.099999999999994</v>
          </cell>
          <cell r="L44">
            <v>4.8</v>
          </cell>
          <cell r="M44">
            <v>-5.5000000000000036</v>
          </cell>
          <cell r="N44">
            <v>19.895</v>
          </cell>
          <cell r="O44">
            <v>15.484</v>
          </cell>
          <cell r="P44">
            <v>2.75</v>
          </cell>
          <cell r="Q44">
            <v>-1.7402204379999819</v>
          </cell>
          <cell r="R44">
            <v>2.2230000000000003</v>
          </cell>
          <cell r="S44">
            <v>105.3</v>
          </cell>
          <cell r="T44">
            <v>-22.344000000000001</v>
          </cell>
        </row>
        <row r="46">
          <cell r="C46">
            <v>-45.123800000000003</v>
          </cell>
          <cell r="D46">
            <v>-31.444800000000001</v>
          </cell>
          <cell r="E46">
            <v>44.138199999999998</v>
          </cell>
          <cell r="F46">
            <v>50.571899999999992</v>
          </cell>
          <cell r="G46">
            <v>63.360499999999995</v>
          </cell>
          <cell r="H46">
            <v>44.189499999999995</v>
          </cell>
          <cell r="I46">
            <v>4.2600000000003746E-2</v>
          </cell>
          <cell r="J46">
            <v>21.599999999999973</v>
          </cell>
          <cell r="K46">
            <v>-29.499999999999972</v>
          </cell>
          <cell r="L46">
            <v>11.800000000000018</v>
          </cell>
          <cell r="M46">
            <v>0.39999999999998437</v>
          </cell>
          <cell r="N46">
            <v>-55.12509900000002</v>
          </cell>
          <cell r="O46">
            <v>14.591723999999992</v>
          </cell>
          <cell r="P46">
            <v>68.293279000000041</v>
          </cell>
          <cell r="Q46">
            <v>82.424229561999937</v>
          </cell>
          <cell r="R46">
            <v>-57.590983152</v>
          </cell>
          <cell r="S46">
            <v>-25.22069999999993</v>
          </cell>
          <cell r="T46">
            <v>380.75899999999996</v>
          </cell>
        </row>
        <row r="47">
          <cell r="O47" t="str">
            <v/>
          </cell>
        </row>
        <row r="49">
          <cell r="R49">
            <v>-57.590983152000007</v>
          </cell>
        </row>
        <row r="52">
          <cell r="C52">
            <v>0.96</v>
          </cell>
          <cell r="D52">
            <v>1.28</v>
          </cell>
          <cell r="E52">
            <v>1.05</v>
          </cell>
          <cell r="F52">
            <v>16.7</v>
          </cell>
          <cell r="G52">
            <v>49.7</v>
          </cell>
          <cell r="H52">
            <v>67.5</v>
          </cell>
          <cell r="I52">
            <v>71.900000000000006</v>
          </cell>
          <cell r="J52">
            <v>138.1</v>
          </cell>
          <cell r="K52">
            <v>97.1</v>
          </cell>
          <cell r="L52">
            <v>137.1</v>
          </cell>
          <cell r="M52">
            <v>151.5</v>
          </cell>
          <cell r="N52">
            <v>147.1</v>
          </cell>
          <cell r="O52">
            <v>136.1</v>
          </cell>
        </row>
        <row r="54">
          <cell r="O54" t="str">
            <v/>
          </cell>
        </row>
      </sheetData>
      <sheetData sheetId="10"/>
      <sheetData sheetId="11"/>
      <sheetData sheetId="12"/>
      <sheetData sheetId="13"/>
      <sheetData sheetId="14">
        <row r="5">
          <cell r="K5" t="str">
            <v>1987</v>
          </cell>
          <cell r="L5" t="str">
            <v>1988</v>
          </cell>
          <cell r="M5" t="str">
            <v>1989</v>
          </cell>
          <cell r="N5" t="str">
            <v>1990</v>
          </cell>
          <cell r="O5" t="str">
            <v>1991</v>
          </cell>
          <cell r="P5" t="str">
            <v>1992</v>
          </cell>
          <cell r="Q5" t="str">
            <v>1993</v>
          </cell>
          <cell r="R5" t="str">
            <v>1994</v>
          </cell>
          <cell r="S5" t="str">
            <v>1995</v>
          </cell>
          <cell r="T5" t="str">
            <v>1996</v>
          </cell>
          <cell r="U5" t="str">
            <v>1997</v>
          </cell>
          <cell r="V5" t="str">
            <v>1998</v>
          </cell>
          <cell r="W5" t="str">
            <v>1999</v>
          </cell>
          <cell r="X5" t="str">
            <v>2000</v>
          </cell>
          <cell r="Y5" t="str">
            <v>2001</v>
          </cell>
          <cell r="Z5" t="str">
            <v>2002</v>
          </cell>
          <cell r="AA5" t="str">
            <v>2003</v>
          </cell>
          <cell r="AB5" t="str">
            <v>2004</v>
          </cell>
          <cell r="AC5" t="str">
            <v>2005</v>
          </cell>
          <cell r="AD5" t="str">
            <v>2006</v>
          </cell>
          <cell r="AE5" t="str">
            <v>2007</v>
          </cell>
          <cell r="AF5" t="str">
            <v>2008</v>
          </cell>
          <cell r="AG5" t="str">
            <v>2009</v>
          </cell>
        </row>
        <row r="10">
          <cell r="K10">
            <v>60.57</v>
          </cell>
          <cell r="L10">
            <v>61.449999999999996</v>
          </cell>
          <cell r="M10">
            <v>45</v>
          </cell>
          <cell r="N10">
            <v>49.900000000000006</v>
          </cell>
          <cell r="O10">
            <v>61.5</v>
          </cell>
          <cell r="P10">
            <v>69.7</v>
          </cell>
          <cell r="Q10">
            <v>77.599999999999994</v>
          </cell>
          <cell r="R10">
            <v>105.50000000000001</v>
          </cell>
          <cell r="S10">
            <v>149.1</v>
          </cell>
          <cell r="T10">
            <v>171.9</v>
          </cell>
          <cell r="U10">
            <v>181.9</v>
          </cell>
          <cell r="V10">
            <v>211.25</v>
          </cell>
          <cell r="W10">
            <v>233.09999999999997</v>
          </cell>
          <cell r="X10">
            <v>266.22000000000003</v>
          </cell>
          <cell r="Y10">
            <v>281.12</v>
          </cell>
          <cell r="Z10">
            <v>318.17</v>
          </cell>
          <cell r="AA10">
            <v>350.70000000000005</v>
          </cell>
          <cell r="AB10">
            <v>351.4</v>
          </cell>
          <cell r="AC10">
            <v>383.43</v>
          </cell>
          <cell r="AD10">
            <v>416.93397900000002</v>
          </cell>
          <cell r="AE10">
            <v>547.19999999999993</v>
          </cell>
          <cell r="AF10">
            <v>581.30000000000007</v>
          </cell>
          <cell r="AG10">
            <v>628.04</v>
          </cell>
        </row>
        <row r="11">
          <cell r="K11">
            <v>50.22</v>
          </cell>
          <cell r="L11">
            <v>47.62</v>
          </cell>
          <cell r="M11">
            <v>34.4</v>
          </cell>
          <cell r="N11">
            <v>39.6</v>
          </cell>
          <cell r="O11">
            <v>47.2</v>
          </cell>
          <cell r="P11">
            <v>57.3</v>
          </cell>
          <cell r="Q11">
            <v>65.8</v>
          </cell>
          <cell r="R11">
            <v>91.000000000000014</v>
          </cell>
          <cell r="S11">
            <v>123</v>
          </cell>
          <cell r="T11">
            <v>142.6</v>
          </cell>
          <cell r="U11">
            <v>158.80000000000001</v>
          </cell>
          <cell r="V11">
            <v>182.6</v>
          </cell>
          <cell r="W11">
            <v>199.39999999999998</v>
          </cell>
          <cell r="X11">
            <v>234.11</v>
          </cell>
          <cell r="Y11">
            <v>247.26</v>
          </cell>
          <cell r="Z11">
            <v>282.5</v>
          </cell>
          <cell r="AA11">
            <v>313.60000000000002</v>
          </cell>
          <cell r="AB11">
            <v>311.39999999999998</v>
          </cell>
          <cell r="AC11">
            <v>334.01</v>
          </cell>
          <cell r="AD11">
            <v>378.813761</v>
          </cell>
          <cell r="AE11">
            <v>445.9</v>
          </cell>
          <cell r="AF11">
            <v>512.20000000000005</v>
          </cell>
          <cell r="AG11">
            <v>558.99</v>
          </cell>
        </row>
        <row r="12">
          <cell r="K12">
            <v>27.71</v>
          </cell>
          <cell r="L12">
            <v>25.61</v>
          </cell>
          <cell r="M12">
            <v>17.5</v>
          </cell>
          <cell r="N12">
            <v>20.8</v>
          </cell>
          <cell r="O12">
            <v>25.5</v>
          </cell>
          <cell r="P12">
            <v>28.2</v>
          </cell>
          <cell r="Q12">
            <v>32.700000000000003</v>
          </cell>
          <cell r="R12">
            <v>42.1</v>
          </cell>
          <cell r="S12">
            <v>60.3</v>
          </cell>
          <cell r="T12">
            <v>70.3</v>
          </cell>
          <cell r="U12">
            <v>82.7</v>
          </cell>
          <cell r="V12">
            <v>91.35</v>
          </cell>
          <cell r="W12">
            <v>106.6</v>
          </cell>
          <cell r="X12">
            <v>126.7</v>
          </cell>
          <cell r="Y12">
            <v>133.38999999999999</v>
          </cell>
          <cell r="Z12">
            <v>145.9</v>
          </cell>
          <cell r="AA12">
            <v>163.6</v>
          </cell>
          <cell r="AB12">
            <v>155.9</v>
          </cell>
          <cell r="AC12">
            <v>174.81</v>
          </cell>
          <cell r="AD12">
            <v>207.41376099999999</v>
          </cell>
          <cell r="AE12">
            <v>250.1</v>
          </cell>
          <cell r="AF12">
            <v>278.89999999999998</v>
          </cell>
          <cell r="AG12">
            <v>288.99</v>
          </cell>
        </row>
        <row r="13">
          <cell r="K13">
            <v>22.51</v>
          </cell>
          <cell r="L13">
            <v>22.009999999999998</v>
          </cell>
          <cell r="M13">
            <v>16.899999999999999</v>
          </cell>
          <cell r="N13">
            <v>18.8</v>
          </cell>
          <cell r="O13">
            <v>21.7</v>
          </cell>
          <cell r="P13">
            <v>28.9</v>
          </cell>
          <cell r="Q13">
            <v>32.799999999999997</v>
          </cell>
          <cell r="R13">
            <v>48.7</v>
          </cell>
          <cell r="S13">
            <v>62.7</v>
          </cell>
          <cell r="T13">
            <v>72.3</v>
          </cell>
          <cell r="U13">
            <v>76.099999999999994</v>
          </cell>
          <cell r="V13">
            <v>91.25</v>
          </cell>
          <cell r="W13">
            <v>92.8</v>
          </cell>
          <cell r="X13">
            <v>107.41</v>
          </cell>
          <cell r="Y13">
            <v>113.87</v>
          </cell>
          <cell r="Z13">
            <v>136.6</v>
          </cell>
          <cell r="AA13">
            <v>150</v>
          </cell>
          <cell r="AB13">
            <v>155.5</v>
          </cell>
          <cell r="AC13">
            <v>159.19999999999999</v>
          </cell>
          <cell r="AD13">
            <v>171.4</v>
          </cell>
          <cell r="AE13">
            <v>195.8</v>
          </cell>
          <cell r="AF13">
            <v>233.3</v>
          </cell>
          <cell r="AG13">
            <v>270</v>
          </cell>
        </row>
        <row r="14">
          <cell r="M14">
            <v>0</v>
          </cell>
          <cell r="N14">
            <v>0</v>
          </cell>
          <cell r="P14">
            <v>0.2</v>
          </cell>
          <cell r="Q14">
            <v>0.3</v>
          </cell>
          <cell r="R14">
            <v>0.2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K15">
            <v>10.35</v>
          </cell>
          <cell r="L15">
            <v>13.83</v>
          </cell>
          <cell r="M15">
            <v>10.6</v>
          </cell>
          <cell r="N15">
            <v>10.3</v>
          </cell>
          <cell r="O15">
            <v>14.3</v>
          </cell>
          <cell r="P15">
            <v>12.4</v>
          </cell>
          <cell r="Q15">
            <v>11.8</v>
          </cell>
          <cell r="R15">
            <v>14.5</v>
          </cell>
          <cell r="S15">
            <v>26.1</v>
          </cell>
          <cell r="T15">
            <v>29.3</v>
          </cell>
          <cell r="U15">
            <v>23.1</v>
          </cell>
          <cell r="V15">
            <v>28.65</v>
          </cell>
          <cell r="W15">
            <v>33.700000000000003</v>
          </cell>
          <cell r="X15">
            <v>32.11</v>
          </cell>
          <cell r="Y15">
            <v>33.86</v>
          </cell>
          <cell r="Z15">
            <v>35.67</v>
          </cell>
          <cell r="AA15">
            <v>37.1</v>
          </cell>
          <cell r="AB15">
            <v>40</v>
          </cell>
          <cell r="AC15">
            <v>49.42</v>
          </cell>
          <cell r="AD15">
            <v>38.120218000000001</v>
          </cell>
          <cell r="AE15">
            <v>101.3</v>
          </cell>
          <cell r="AF15">
            <v>69.099999999999994</v>
          </cell>
          <cell r="AG15">
            <v>69.05</v>
          </cell>
        </row>
        <row r="16"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9">
          <cell r="K19">
            <v>104.80000000000001</v>
          </cell>
          <cell r="L19">
            <v>107.53</v>
          </cell>
          <cell r="M19">
            <v>93.9</v>
          </cell>
          <cell r="N19">
            <v>97.52</v>
          </cell>
          <cell r="O19">
            <v>99.300000000000011</v>
          </cell>
          <cell r="P19">
            <v>107.00000000000004</v>
          </cell>
          <cell r="Q19">
            <v>106.2</v>
          </cell>
          <cell r="R19">
            <v>161.69999999999999</v>
          </cell>
          <cell r="S19">
            <v>221.9</v>
          </cell>
          <cell r="T19">
            <v>220.3</v>
          </cell>
          <cell r="U19">
            <v>234.4</v>
          </cell>
          <cell r="V19">
            <v>223.88</v>
          </cell>
          <cell r="W19">
            <v>257.92</v>
          </cell>
          <cell r="X19">
            <v>326.06</v>
          </cell>
          <cell r="Y19">
            <v>331.89000000000004</v>
          </cell>
          <cell r="Z19">
            <v>382.01</v>
          </cell>
          <cell r="AA19">
            <v>426.37000000000006</v>
          </cell>
          <cell r="AB19">
            <v>429.5</v>
          </cell>
          <cell r="AC19">
            <v>489.28999999999996</v>
          </cell>
          <cell r="AD19">
            <v>479.64937300000008</v>
          </cell>
          <cell r="AE19">
            <v>585.64778576000003</v>
          </cell>
          <cell r="AF19">
            <v>684.59999999999991</v>
          </cell>
          <cell r="AG19">
            <v>933.06000000000006</v>
          </cell>
        </row>
        <row r="20">
          <cell r="U20">
            <v>151.4</v>
          </cell>
          <cell r="V20">
            <v>144.56</v>
          </cell>
          <cell r="W20">
            <v>164.92000000000002</v>
          </cell>
          <cell r="X20">
            <v>209.37</v>
          </cell>
          <cell r="Y20">
            <v>231.71</v>
          </cell>
          <cell r="Z20">
            <v>259.18</v>
          </cell>
          <cell r="AA20">
            <v>287.3</v>
          </cell>
          <cell r="AB20">
            <v>297.8</v>
          </cell>
          <cell r="AC20">
            <v>345.89</v>
          </cell>
          <cell r="AD20">
            <v>357.84410500000007</v>
          </cell>
          <cell r="AE20">
            <v>378.57752799999997</v>
          </cell>
          <cell r="AF20">
            <v>446.79999999999995</v>
          </cell>
          <cell r="AG20">
            <v>505.13000000000005</v>
          </cell>
        </row>
        <row r="21">
          <cell r="K21">
            <v>41.74731818181818</v>
          </cell>
          <cell r="L21">
            <v>40.799659090909088</v>
          </cell>
          <cell r="M21">
            <v>36.9</v>
          </cell>
          <cell r="N21">
            <v>36.299999999999997</v>
          </cell>
          <cell r="O21">
            <v>37.299999999999997</v>
          </cell>
          <cell r="P21">
            <v>39.200000000000003</v>
          </cell>
          <cell r="Q21">
            <v>37.700000000000003</v>
          </cell>
          <cell r="R21">
            <v>45.7</v>
          </cell>
          <cell r="S21">
            <v>53.9</v>
          </cell>
          <cell r="T21">
            <v>58.2</v>
          </cell>
          <cell r="U21">
            <v>62</v>
          </cell>
          <cell r="V21">
            <v>64.569999999999993</v>
          </cell>
          <cell r="W21">
            <v>66.3</v>
          </cell>
          <cell r="X21">
            <v>72.67</v>
          </cell>
          <cell r="Y21">
            <v>79.099999999999994</v>
          </cell>
          <cell r="Z21">
            <v>90.05</v>
          </cell>
          <cell r="AA21">
            <v>108</v>
          </cell>
          <cell r="AB21">
            <v>118.3</v>
          </cell>
          <cell r="AC21">
            <v>130.28</v>
          </cell>
          <cell r="AD21">
            <v>134.99600000000001</v>
          </cell>
          <cell r="AE21">
            <v>143.1</v>
          </cell>
          <cell r="AF21">
            <v>182.4</v>
          </cell>
          <cell r="AG21">
            <v>220</v>
          </cell>
        </row>
        <row r="22">
          <cell r="K22">
            <v>8.0326818181818176</v>
          </cell>
          <cell r="L22">
            <v>7.8503409090909084</v>
          </cell>
          <cell r="M22">
            <v>7.1</v>
          </cell>
          <cell r="N22">
            <v>7.1</v>
          </cell>
          <cell r="O22">
            <v>8.1999999999999993</v>
          </cell>
          <cell r="P22">
            <v>9</v>
          </cell>
          <cell r="Q22">
            <v>8.9</v>
          </cell>
          <cell r="R22">
            <v>10.4</v>
          </cell>
          <cell r="S22">
            <v>11.5</v>
          </cell>
          <cell r="T22">
            <v>16.899999999999999</v>
          </cell>
          <cell r="U22">
            <v>16.2</v>
          </cell>
          <cell r="V22">
            <v>16.87</v>
          </cell>
          <cell r="W22">
            <v>18.259999999999998</v>
          </cell>
          <cell r="X22">
            <v>19.310000000000002</v>
          </cell>
          <cell r="Y22">
            <v>20.520000000000003</v>
          </cell>
          <cell r="Z22">
            <v>21.529999999999998</v>
          </cell>
          <cell r="AA22">
            <v>25.7</v>
          </cell>
          <cell r="AB22">
            <v>26.7</v>
          </cell>
          <cell r="AC22">
            <v>26.51</v>
          </cell>
          <cell r="AD22">
            <v>29.3</v>
          </cell>
          <cell r="AE22">
            <v>34.272999999999996</v>
          </cell>
          <cell r="AF22">
            <v>36</v>
          </cell>
          <cell r="AG22">
            <v>47.3</v>
          </cell>
        </row>
        <row r="23">
          <cell r="K23">
            <v>3.7810126582278478</v>
          </cell>
          <cell r="L23">
            <v>2.7531645569620249</v>
          </cell>
          <cell r="M23">
            <v>1.6518987341772149</v>
          </cell>
          <cell r="N23">
            <v>2.1878481012658222</v>
          </cell>
          <cell r="O23">
            <v>2.1474683544303792</v>
          </cell>
          <cell r="P23">
            <v>2.3677215189873411</v>
          </cell>
          <cell r="Q23">
            <v>2.7898734177215183</v>
          </cell>
          <cell r="R23">
            <v>4.772151898734176</v>
          </cell>
          <cell r="S23">
            <v>8.6999999999999993</v>
          </cell>
          <cell r="T23">
            <v>8.6999999999999993</v>
          </cell>
          <cell r="U23">
            <v>8.9</v>
          </cell>
          <cell r="V23">
            <v>8.4678119001919381</v>
          </cell>
          <cell r="W23">
            <v>15.7</v>
          </cell>
          <cell r="X23">
            <v>23.98</v>
          </cell>
          <cell r="Y23">
            <v>39</v>
          </cell>
          <cell r="Z23">
            <v>73.7</v>
          </cell>
          <cell r="AA23">
            <v>61.8</v>
          </cell>
          <cell r="AB23">
            <v>65.5</v>
          </cell>
          <cell r="AC23">
            <v>81.8</v>
          </cell>
          <cell r="AD23">
            <v>102.2</v>
          </cell>
          <cell r="AE23">
            <v>97.975999999999999</v>
          </cell>
          <cell r="AF23">
            <v>119.3</v>
          </cell>
          <cell r="AG23">
            <v>115</v>
          </cell>
        </row>
        <row r="24">
          <cell r="K24">
            <v>16.818987341772154</v>
          </cell>
          <cell r="L24">
            <v>12.246835443037973</v>
          </cell>
          <cell r="M24">
            <v>7.348101265822784</v>
          </cell>
          <cell r="N24">
            <v>9.7321518987341769</v>
          </cell>
          <cell r="O24">
            <v>9.5525316455696192</v>
          </cell>
          <cell r="P24">
            <v>10.5322784810127</v>
          </cell>
          <cell r="Q24">
            <v>12.41012658227848</v>
          </cell>
          <cell r="R24">
            <v>21.22784810126582</v>
          </cell>
          <cell r="S24">
            <v>38.700000000000003</v>
          </cell>
          <cell r="T24">
            <v>36.700000000000003</v>
          </cell>
          <cell r="U24">
            <v>43.2</v>
          </cell>
          <cell r="V24">
            <v>41.10218809980806</v>
          </cell>
          <cell r="W24">
            <v>49.8</v>
          </cell>
          <cell r="X24">
            <v>78.539999999999992</v>
          </cell>
          <cell r="Y24">
            <v>79.91</v>
          </cell>
          <cell r="Z24">
            <v>58.4</v>
          </cell>
          <cell r="AA24">
            <v>79.5</v>
          </cell>
          <cell r="AB24">
            <v>80.3</v>
          </cell>
          <cell r="AC24">
            <v>100.4</v>
          </cell>
          <cell r="AD24">
            <v>85.500505000000004</v>
          </cell>
          <cell r="AE24">
            <v>98.099654999999998</v>
          </cell>
          <cell r="AF24">
            <v>98.7</v>
          </cell>
          <cell r="AG24">
            <v>111.98</v>
          </cell>
        </row>
        <row r="26">
          <cell r="K26">
            <v>26.72</v>
          </cell>
          <cell r="L26">
            <v>33.479999999999997</v>
          </cell>
          <cell r="M26">
            <v>25.9</v>
          </cell>
          <cell r="N26">
            <v>26.9</v>
          </cell>
          <cell r="O26">
            <v>28.200000000000003</v>
          </cell>
          <cell r="P26">
            <v>24.1</v>
          </cell>
          <cell r="Q26">
            <v>28.5</v>
          </cell>
          <cell r="R26">
            <v>53.4</v>
          </cell>
          <cell r="S26">
            <v>78.2</v>
          </cell>
          <cell r="T26">
            <v>71.8</v>
          </cell>
          <cell r="U26">
            <v>83.7</v>
          </cell>
          <cell r="V26">
            <v>77.44</v>
          </cell>
          <cell r="W26">
            <v>88.4</v>
          </cell>
          <cell r="X26">
            <v>116.43</v>
          </cell>
          <cell r="Y26">
            <v>99.800000000000011</v>
          </cell>
          <cell r="Z26">
            <v>119.6</v>
          </cell>
          <cell r="AA26">
            <v>141.1</v>
          </cell>
          <cell r="AB26">
            <v>131</v>
          </cell>
          <cell r="AC26">
            <v>144.19999999999999</v>
          </cell>
          <cell r="AD26">
            <v>120.594537</v>
          </cell>
          <cell r="AE26">
            <v>206.87025776000002</v>
          </cell>
          <cell r="AF26">
            <v>193</v>
          </cell>
          <cell r="AG26">
            <v>415.8</v>
          </cell>
        </row>
        <row r="27">
          <cell r="K27">
            <v>3.42</v>
          </cell>
          <cell r="L27">
            <v>3.6</v>
          </cell>
          <cell r="M27">
            <v>1.4</v>
          </cell>
          <cell r="N27">
            <v>0.9</v>
          </cell>
          <cell r="O27">
            <v>1.6</v>
          </cell>
          <cell r="P27">
            <v>1.5</v>
          </cell>
          <cell r="Q27">
            <v>3</v>
          </cell>
          <cell r="R27">
            <v>3.5</v>
          </cell>
          <cell r="S27">
            <v>13.2</v>
          </cell>
          <cell r="T27">
            <v>7.3</v>
          </cell>
          <cell r="U27">
            <v>11.9</v>
          </cell>
          <cell r="V27">
            <v>14.96</v>
          </cell>
          <cell r="W27">
            <v>21.9</v>
          </cell>
          <cell r="X27">
            <v>28.98</v>
          </cell>
          <cell r="Y27">
            <v>46.71</v>
          </cell>
          <cell r="Z27">
            <v>54.5</v>
          </cell>
          <cell r="AA27">
            <v>71.8</v>
          </cell>
          <cell r="AB27">
            <v>61.2</v>
          </cell>
          <cell r="AC27">
            <v>76.3</v>
          </cell>
          <cell r="AD27">
            <v>55.794536999999998</v>
          </cell>
          <cell r="AE27">
            <v>93.670257759999998</v>
          </cell>
          <cell r="AF27">
            <v>123.6</v>
          </cell>
          <cell r="AG27">
            <v>264.98</v>
          </cell>
        </row>
        <row r="28">
          <cell r="K28">
            <v>23.3</v>
          </cell>
          <cell r="L28">
            <v>29.88</v>
          </cell>
          <cell r="M28">
            <v>24.5</v>
          </cell>
          <cell r="N28">
            <v>26</v>
          </cell>
          <cell r="O28">
            <v>26.6</v>
          </cell>
          <cell r="P28">
            <v>22.6</v>
          </cell>
          <cell r="Q28">
            <v>25.5</v>
          </cell>
          <cell r="R28">
            <v>49.9</v>
          </cell>
          <cell r="S28">
            <v>65</v>
          </cell>
          <cell r="T28">
            <v>64.5</v>
          </cell>
          <cell r="U28">
            <v>71.8</v>
          </cell>
          <cell r="V28">
            <v>62.48</v>
          </cell>
          <cell r="W28">
            <v>66.5</v>
          </cell>
          <cell r="X28">
            <v>87.45</v>
          </cell>
          <cell r="Y28">
            <v>53.09</v>
          </cell>
          <cell r="Z28">
            <v>65.099999999999994</v>
          </cell>
          <cell r="AA28">
            <v>69.3</v>
          </cell>
          <cell r="AB28">
            <v>69.8</v>
          </cell>
          <cell r="AC28">
            <v>67.900000000000006</v>
          </cell>
          <cell r="AD28">
            <v>64.8</v>
          </cell>
          <cell r="AE28">
            <v>113.2</v>
          </cell>
          <cell r="AF28">
            <v>69.400000000000006</v>
          </cell>
          <cell r="AG28">
            <v>150.82</v>
          </cell>
        </row>
        <row r="30">
          <cell r="K30">
            <v>-13.229999999999999</v>
          </cell>
          <cell r="L30">
            <v>-5.7999999999999989</v>
          </cell>
          <cell r="M30">
            <v>-9.3999999999999968</v>
          </cell>
          <cell r="N30">
            <v>-6.3199999999999905</v>
          </cell>
          <cell r="O30">
            <v>2.7000000000000042</v>
          </cell>
          <cell r="P30">
            <v>7.0999999999999588</v>
          </cell>
          <cell r="Q30">
            <v>12.799999999999994</v>
          </cell>
          <cell r="R30">
            <v>19.90000000000002</v>
          </cell>
          <cell r="S30">
            <v>23.099999999999984</v>
          </cell>
          <cell r="T30">
            <v>44.100000000000009</v>
          </cell>
          <cell r="U30">
            <v>39.699999999999996</v>
          </cell>
          <cell r="V30">
            <v>65.28</v>
          </cell>
          <cell r="W30">
            <v>61.139999999999979</v>
          </cell>
          <cell r="X30">
            <v>42.740000000000023</v>
          </cell>
          <cell r="Y30">
            <v>15.880000000000003</v>
          </cell>
          <cell r="Z30">
            <v>19.989999999999981</v>
          </cell>
          <cell r="AA30">
            <v>3.9000000000000483</v>
          </cell>
          <cell r="AB30">
            <v>-0.60000000000002274</v>
          </cell>
          <cell r="AC30">
            <v>-31.859999999999971</v>
          </cell>
          <cell r="AD30">
            <v>9.1429370000000389</v>
          </cell>
          <cell r="AE30">
            <v>80.081087239999903</v>
          </cell>
          <cell r="AF30">
            <v>21.300000000000097</v>
          </cell>
          <cell r="AG30">
            <v>-131.22000000000008</v>
          </cell>
        </row>
        <row r="31">
          <cell r="K31">
            <v>-36.53</v>
          </cell>
          <cell r="L31">
            <v>-35.68</v>
          </cell>
          <cell r="M31">
            <v>-33.9</v>
          </cell>
          <cell r="N31">
            <v>-32.319999999999993</v>
          </cell>
          <cell r="O31">
            <v>-23.9</v>
          </cell>
          <cell r="P31">
            <v>-16.500000000000043</v>
          </cell>
          <cell r="Q31">
            <v>-12.700000000000006</v>
          </cell>
          <cell r="R31">
            <v>-29.999999999999979</v>
          </cell>
          <cell r="S31">
            <v>-44.90000000000002</v>
          </cell>
          <cell r="T31">
            <v>-21.099999999999991</v>
          </cell>
          <cell r="U31">
            <v>-31.400000000000002</v>
          </cell>
          <cell r="V31">
            <v>0.92000000000000437</v>
          </cell>
          <cell r="W31">
            <v>-9.9600000000000204</v>
          </cell>
          <cell r="X31">
            <v>-44.969999999999978</v>
          </cell>
          <cell r="Y31">
            <v>-37.590000000000003</v>
          </cell>
          <cell r="Z31">
            <v>-48.340000000000011</v>
          </cell>
          <cell r="AA31">
            <v>-63.369999999999948</v>
          </cell>
          <cell r="AB31">
            <v>-71.100000000000023</v>
          </cell>
          <cell r="AC31">
            <v>-98.95999999999998</v>
          </cell>
          <cell r="AD31">
            <v>-56.867793999999961</v>
          </cell>
          <cell r="AE31">
            <v>-33.318912760000103</v>
          </cell>
          <cell r="AF31">
            <v>-92.899999999999906</v>
          </cell>
          <cell r="AG31">
            <v>-294.17000000000007</v>
          </cell>
        </row>
        <row r="32">
          <cell r="U32">
            <v>30.5</v>
          </cell>
          <cell r="V32">
            <v>66.69</v>
          </cell>
          <cell r="W32">
            <v>68.17999999999995</v>
          </cell>
          <cell r="X32">
            <v>56.850000000000023</v>
          </cell>
          <cell r="Y32">
            <v>49.41</v>
          </cell>
          <cell r="Z32">
            <v>58.990000000000009</v>
          </cell>
          <cell r="AA32">
            <v>63.400000000000034</v>
          </cell>
          <cell r="AB32">
            <v>53.599999999999966</v>
          </cell>
          <cell r="AC32">
            <v>37.54000000000002</v>
          </cell>
          <cell r="AD32">
            <v>59.089873999999952</v>
          </cell>
          <cell r="AE32">
            <v>168.62247199999996</v>
          </cell>
          <cell r="AF32">
            <v>134.50000000000011</v>
          </cell>
          <cell r="AG32">
            <v>122.90999999999991</v>
          </cell>
        </row>
        <row r="33">
          <cell r="K33">
            <v>7.7</v>
          </cell>
          <cell r="L33">
            <v>10.4</v>
          </cell>
          <cell r="M33">
            <v>15</v>
          </cell>
          <cell r="N33">
            <v>15.3</v>
          </cell>
          <cell r="O33">
            <v>13.899999999999999</v>
          </cell>
          <cell r="P33">
            <v>20.8</v>
          </cell>
          <cell r="Q33">
            <v>15.9</v>
          </cell>
          <cell r="R33">
            <v>26.2</v>
          </cell>
          <cell r="S33">
            <v>27.9</v>
          </cell>
          <cell r="T33">
            <v>27.3</v>
          </cell>
          <cell r="U33">
            <v>21.099999999999998</v>
          </cell>
          <cell r="V33">
            <v>13.55</v>
          </cell>
          <cell r="W33">
            <v>14.86</v>
          </cell>
          <cell r="X33">
            <v>14.870000000000001</v>
          </cell>
          <cell r="Y33">
            <v>13.18</v>
          </cell>
          <cell r="Z33">
            <v>15.5</v>
          </cell>
          <cell r="AA33">
            <v>12.3</v>
          </cell>
          <cell r="AB33">
            <v>7</v>
          </cell>
          <cell r="AC33">
            <v>6.8999999999999995</v>
          </cell>
          <cell r="AD33">
            <v>5.8475999999999999</v>
          </cell>
          <cell r="AE33">
            <v>5.1288730000000005</v>
          </cell>
          <cell r="AF33">
            <v>10.399999999999999</v>
          </cell>
          <cell r="AG33">
            <v>10.85</v>
          </cell>
        </row>
        <row r="34">
          <cell r="K34">
            <v>2</v>
          </cell>
          <cell r="L34">
            <v>3</v>
          </cell>
          <cell r="M34">
            <v>2.8</v>
          </cell>
          <cell r="N34">
            <v>4.7</v>
          </cell>
          <cell r="O34">
            <v>5.2</v>
          </cell>
          <cell r="P34">
            <v>4.8</v>
          </cell>
          <cell r="Q34">
            <v>4.5999999999999996</v>
          </cell>
          <cell r="R34">
            <v>3.7</v>
          </cell>
          <cell r="S34">
            <v>2.7</v>
          </cell>
          <cell r="T34">
            <v>3.2</v>
          </cell>
          <cell r="U34">
            <v>2.7</v>
          </cell>
          <cell r="V34">
            <v>2.57</v>
          </cell>
          <cell r="W34">
            <v>2.36</v>
          </cell>
          <cell r="X34">
            <v>1.88</v>
          </cell>
          <cell r="Y34">
            <v>1.69</v>
          </cell>
          <cell r="Z34">
            <v>1.2</v>
          </cell>
          <cell r="AA34">
            <v>1</v>
          </cell>
          <cell r="AB34">
            <v>1.2</v>
          </cell>
          <cell r="AC34">
            <v>1.3</v>
          </cell>
          <cell r="AD34">
            <v>0.24759999999999999</v>
          </cell>
          <cell r="AE34">
            <v>2.7719000000000001E-2</v>
          </cell>
          <cell r="AF34">
            <v>5.6</v>
          </cell>
          <cell r="AG34">
            <v>5.56</v>
          </cell>
        </row>
        <row r="35">
          <cell r="K35">
            <v>5.7</v>
          </cell>
          <cell r="L35">
            <v>7.4</v>
          </cell>
          <cell r="M35">
            <v>12.2</v>
          </cell>
          <cell r="N35">
            <v>10.6</v>
          </cell>
          <cell r="O35">
            <v>8.6999999999999993</v>
          </cell>
          <cell r="P35">
            <v>16</v>
          </cell>
          <cell r="Q35">
            <v>11.3</v>
          </cell>
          <cell r="R35">
            <v>22.5</v>
          </cell>
          <cell r="S35">
            <v>25.2</v>
          </cell>
          <cell r="T35">
            <v>24.1</v>
          </cell>
          <cell r="U35">
            <v>18.399999999999999</v>
          </cell>
          <cell r="V35">
            <v>10.98</v>
          </cell>
          <cell r="W35">
            <v>12.5</v>
          </cell>
          <cell r="X35">
            <v>12.99</v>
          </cell>
          <cell r="Y35">
            <v>11.49</v>
          </cell>
          <cell r="Z35">
            <v>14.3</v>
          </cell>
          <cell r="AA35">
            <v>11.3</v>
          </cell>
          <cell r="AB35">
            <v>5.8</v>
          </cell>
          <cell r="AC35">
            <v>5.6</v>
          </cell>
          <cell r="AD35">
            <v>5.6</v>
          </cell>
          <cell r="AE35">
            <v>5.1011540000000002</v>
          </cell>
          <cell r="AF35">
            <v>4.8</v>
          </cell>
          <cell r="AG35">
            <v>5.29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0</v>
          </cell>
          <cell r="R37">
            <v>0</v>
          </cell>
          <cell r="S37">
            <v>3</v>
          </cell>
          <cell r="T37">
            <v>0.7</v>
          </cell>
          <cell r="U37">
            <v>-0.7</v>
          </cell>
          <cell r="V37">
            <v>1.88</v>
          </cell>
          <cell r="W37">
            <v>4.5999999999999996</v>
          </cell>
          <cell r="X37">
            <v>0.26</v>
          </cell>
          <cell r="Y37">
            <v>0.38</v>
          </cell>
          <cell r="Z37">
            <v>3.23</v>
          </cell>
          <cell r="AA37">
            <v>-2.0299999999999998</v>
          </cell>
          <cell r="AB37">
            <v>0.7</v>
          </cell>
          <cell r="AC37">
            <v>-0.8</v>
          </cell>
          <cell r="AD37">
            <v>1.210731</v>
          </cell>
          <cell r="AE37">
            <v>0.2</v>
          </cell>
          <cell r="AF37">
            <v>44.8</v>
          </cell>
          <cell r="AG37">
            <v>12.13</v>
          </cell>
        </row>
        <row r="38">
          <cell r="K38">
            <v>0</v>
          </cell>
          <cell r="L38">
            <v>0</v>
          </cell>
          <cell r="M38">
            <v>2</v>
          </cell>
          <cell r="N38">
            <v>0</v>
          </cell>
          <cell r="O38">
            <v>0</v>
          </cell>
          <cell r="P38">
            <v>8</v>
          </cell>
        </row>
        <row r="39">
          <cell r="K39">
            <v>-44.230000000000004</v>
          </cell>
          <cell r="L39">
            <v>-46.08</v>
          </cell>
          <cell r="M39">
            <v>-50.9</v>
          </cell>
          <cell r="N39">
            <v>-47.61999999999999</v>
          </cell>
          <cell r="O39">
            <v>-37.799999999999997</v>
          </cell>
          <cell r="P39">
            <v>-45.30000000000004</v>
          </cell>
          <cell r="Q39">
            <v>-28.600000000000009</v>
          </cell>
          <cell r="R39">
            <v>-56.199999999999974</v>
          </cell>
          <cell r="S39">
            <v>-72.800000000000011</v>
          </cell>
          <cell r="T39">
            <v>-48.399999999999991</v>
          </cell>
          <cell r="U39">
            <v>-52.5</v>
          </cell>
          <cell r="V39">
            <v>-12.629999999999995</v>
          </cell>
          <cell r="W39">
            <v>-24.820000000000022</v>
          </cell>
          <cell r="X39">
            <v>-59.839999999999975</v>
          </cell>
          <cell r="Y39">
            <v>-50.77</v>
          </cell>
          <cell r="Z39">
            <v>-63.840000000000011</v>
          </cell>
          <cell r="AA39">
            <v>-75.669999999999945</v>
          </cell>
          <cell r="AB39">
            <v>-78.100000000000023</v>
          </cell>
          <cell r="AC39">
            <v>-105.85999999999999</v>
          </cell>
          <cell r="AD39">
            <v>-62.715393999999961</v>
          </cell>
          <cell r="AE39">
            <v>-38.447785760000102</v>
          </cell>
          <cell r="AF39">
            <v>-103.2999999999999</v>
          </cell>
          <cell r="AG39">
            <v>-305.0200000000001</v>
          </cell>
        </row>
        <row r="41">
          <cell r="K41">
            <v>22.2</v>
          </cell>
          <cell r="L41">
            <v>14.3</v>
          </cell>
          <cell r="M41">
            <v>-13.7</v>
          </cell>
          <cell r="N41">
            <v>-2.2000000000000002</v>
          </cell>
          <cell r="O41">
            <v>-3.8000000000000003</v>
          </cell>
          <cell r="P41">
            <v>-6.4</v>
          </cell>
          <cell r="Q41">
            <v>-8.1999999999999993</v>
          </cell>
          <cell r="R41">
            <v>-9.5</v>
          </cell>
          <cell r="S41">
            <v>-16.899999999999999</v>
          </cell>
          <cell r="T41">
            <v>-13.700000000000001</v>
          </cell>
          <cell r="U41">
            <v>-7.9</v>
          </cell>
          <cell r="V41">
            <v>-11.6</v>
          </cell>
          <cell r="W41">
            <v>-23.4</v>
          </cell>
          <cell r="X41">
            <v>-12.95</v>
          </cell>
          <cell r="Y41">
            <v>-8.25</v>
          </cell>
          <cell r="Z41">
            <v>-6.7</v>
          </cell>
          <cell r="AA41">
            <v>-2.0499999999999998</v>
          </cell>
          <cell r="AB41">
            <v>-8.4499999999999993</v>
          </cell>
          <cell r="AC41">
            <v>-19</v>
          </cell>
          <cell r="AD41">
            <v>-15</v>
          </cell>
          <cell r="AE41">
            <v>-58.170665</v>
          </cell>
          <cell r="AF41">
            <v>-16.399999999999999</v>
          </cell>
          <cell r="AG41">
            <v>-20</v>
          </cell>
        </row>
        <row r="42">
          <cell r="K42">
            <v>5.7</v>
          </cell>
          <cell r="L42">
            <v>6.8</v>
          </cell>
          <cell r="M42">
            <v>0</v>
          </cell>
          <cell r="N42">
            <v>5.5</v>
          </cell>
          <cell r="O42">
            <v>-4.9000000000000004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11.9</v>
          </cell>
          <cell r="U42">
            <v>7.9</v>
          </cell>
          <cell r="V42">
            <v>0</v>
          </cell>
          <cell r="W42">
            <v>-11.8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K43">
            <v>16.5</v>
          </cell>
          <cell r="L43">
            <v>7.5</v>
          </cell>
          <cell r="M43">
            <v>-13.7</v>
          </cell>
          <cell r="N43">
            <v>-7.7</v>
          </cell>
          <cell r="O43">
            <v>1.1000000000000001</v>
          </cell>
          <cell r="P43">
            <v>-6.4</v>
          </cell>
          <cell r="Q43">
            <v>-8.1999999999999993</v>
          </cell>
          <cell r="R43">
            <v>-9.5</v>
          </cell>
          <cell r="S43">
            <v>-16.899999999999999</v>
          </cell>
          <cell r="T43">
            <v>-25.6</v>
          </cell>
          <cell r="U43">
            <v>-15.8</v>
          </cell>
          <cell r="V43">
            <v>-11.6</v>
          </cell>
          <cell r="W43">
            <v>-11.6</v>
          </cell>
          <cell r="X43">
            <v>-12.95</v>
          </cell>
          <cell r="Y43">
            <v>-8.25</v>
          </cell>
          <cell r="Z43">
            <v>-6.7</v>
          </cell>
          <cell r="AA43">
            <v>-2.0499999999999998</v>
          </cell>
          <cell r="AB43">
            <v>-8.4499999999999993</v>
          </cell>
          <cell r="AC43">
            <v>-19</v>
          </cell>
          <cell r="AD43">
            <v>-15</v>
          </cell>
          <cell r="AE43">
            <v>-58.170665</v>
          </cell>
          <cell r="AF43">
            <v>-16.399999999999999</v>
          </cell>
          <cell r="AG43">
            <v>-20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-5.9</v>
          </cell>
          <cell r="U45">
            <v>-6.6</v>
          </cell>
          <cell r="V45">
            <v>-9</v>
          </cell>
          <cell r="W45">
            <v>-1.1000000000000001</v>
          </cell>
          <cell r="X45">
            <v>0</v>
          </cell>
          <cell r="Y45">
            <v>0</v>
          </cell>
          <cell r="Z45">
            <v>-13.8</v>
          </cell>
          <cell r="AA45">
            <v>1.25</v>
          </cell>
          <cell r="AB45">
            <v>-10.65</v>
          </cell>
          <cell r="AC45">
            <v>40.200000000000003</v>
          </cell>
          <cell r="AD45">
            <v>22.8</v>
          </cell>
          <cell r="AE45">
            <v>2.1</v>
          </cell>
          <cell r="AF45">
            <v>0</v>
          </cell>
          <cell r="AG45">
            <v>0</v>
          </cell>
        </row>
        <row r="46">
          <cell r="V46">
            <v>0</v>
          </cell>
          <cell r="W46">
            <v>4.3</v>
          </cell>
          <cell r="X46">
            <v>7.1899999999999995</v>
          </cell>
          <cell r="AE46">
            <v>71.196633000000006</v>
          </cell>
          <cell r="AF46">
            <v>-99</v>
          </cell>
          <cell r="AG46">
            <v>0</v>
          </cell>
        </row>
        <row r="47">
          <cell r="K47">
            <v>-22.030000000000005</v>
          </cell>
          <cell r="L47">
            <v>-31.779999999999998</v>
          </cell>
          <cell r="M47">
            <v>-64.599999999999994</v>
          </cell>
          <cell r="N47">
            <v>-49.819999999999993</v>
          </cell>
          <cell r="O47">
            <v>-41.599999999999994</v>
          </cell>
          <cell r="P47">
            <v>-51.700000000000038</v>
          </cell>
          <cell r="Q47">
            <v>-36.800000000000011</v>
          </cell>
          <cell r="R47">
            <v>-65.699999999999974</v>
          </cell>
          <cell r="S47">
            <v>-89.700000000000017</v>
          </cell>
          <cell r="T47">
            <v>-68</v>
          </cell>
          <cell r="U47">
            <v>-67</v>
          </cell>
          <cell r="V47">
            <v>-33.229999999999997</v>
          </cell>
          <cell r="W47">
            <v>-45.020000000000024</v>
          </cell>
          <cell r="X47">
            <v>-65.59999999999998</v>
          </cell>
          <cell r="Y47">
            <v>-59.02</v>
          </cell>
          <cell r="Z47">
            <v>-84.34</v>
          </cell>
          <cell r="AA47">
            <v>-76.469999999999942</v>
          </cell>
          <cell r="AB47">
            <v>-97.200000000000031</v>
          </cell>
          <cell r="AC47">
            <v>-84.659999999999982</v>
          </cell>
          <cell r="AD47">
            <v>-54.915393999999964</v>
          </cell>
          <cell r="AE47">
            <v>-23.321817760000101</v>
          </cell>
          <cell r="AF47">
            <v>-218.6999999999999</v>
          </cell>
          <cell r="AG47">
            <v>-325.0200000000001</v>
          </cell>
        </row>
      </sheetData>
      <sheetData sheetId="15">
        <row r="49">
          <cell r="K49">
            <v>20.000000000000004</v>
          </cell>
        </row>
      </sheetData>
      <sheetData sheetId="16"/>
      <sheetData sheetId="17"/>
      <sheetData sheetId="18">
        <row r="11">
          <cell r="C11">
            <v>-44.898600000000002</v>
          </cell>
        </row>
      </sheetData>
      <sheetData sheetId="19"/>
      <sheetData sheetId="20"/>
      <sheetData sheetId="21">
        <row r="15">
          <cell r="C15">
            <v>155.69999999999999</v>
          </cell>
        </row>
      </sheetData>
      <sheetData sheetId="22"/>
      <sheetData sheetId="23"/>
      <sheetData sheetId="24">
        <row r="12">
          <cell r="C12">
            <v>16.75200000000001</v>
          </cell>
        </row>
      </sheetData>
      <sheetData sheetId="25">
        <row r="16">
          <cell r="E16">
            <v>453.24799999999999</v>
          </cell>
        </row>
      </sheetData>
      <sheetData sheetId="26">
        <row r="14">
          <cell r="C14">
            <v>-63.98</v>
          </cell>
        </row>
      </sheetData>
      <sheetData sheetId="27">
        <row r="7">
          <cell r="C7">
            <v>267</v>
          </cell>
          <cell r="D7">
            <v>265.73</v>
          </cell>
          <cell r="E7">
            <v>285.68</v>
          </cell>
          <cell r="F7">
            <v>231.93</v>
          </cell>
          <cell r="G7">
            <v>242.51</v>
          </cell>
          <cell r="H7">
            <v>281.94</v>
          </cell>
          <cell r="I7">
            <v>281.38</v>
          </cell>
          <cell r="J7">
            <v>321.35000000000002</v>
          </cell>
          <cell r="K7">
            <v>628.42999999999995</v>
          </cell>
          <cell r="L7">
            <v>703.07</v>
          </cell>
          <cell r="M7">
            <v>757.16</v>
          </cell>
          <cell r="N7">
            <v>748.3</v>
          </cell>
          <cell r="O7">
            <v>771.5</v>
          </cell>
          <cell r="P7">
            <v>847.6</v>
          </cell>
          <cell r="Q7">
            <v>910.5</v>
          </cell>
          <cell r="R7">
            <v>974.4</v>
          </cell>
          <cell r="S7">
            <v>941.63967400000001</v>
          </cell>
          <cell r="T7">
            <v>832.6</v>
          </cell>
          <cell r="U7">
            <v>849.7</v>
          </cell>
          <cell r="V7">
            <v>949.56</v>
          </cell>
          <cell r="W7">
            <v>547.76501050399997</v>
          </cell>
          <cell r="X7">
            <v>395.83870799900001</v>
          </cell>
          <cell r="Y7">
            <v>713.49199999999996</v>
          </cell>
          <cell r="Z7">
            <v>786.24</v>
          </cell>
        </row>
        <row r="8">
          <cell r="C8">
            <v>0</v>
          </cell>
          <cell r="D8">
            <v>265.73</v>
          </cell>
          <cell r="E8">
            <v>285.68</v>
          </cell>
          <cell r="F8">
            <v>231.93</v>
          </cell>
          <cell r="G8">
            <v>242.51</v>
          </cell>
          <cell r="H8">
            <v>281.94</v>
          </cell>
          <cell r="I8">
            <v>281.38</v>
          </cell>
          <cell r="J8">
            <v>321.35000000000002</v>
          </cell>
          <cell r="K8">
            <v>628.42999999999995</v>
          </cell>
          <cell r="L8">
            <v>703.07</v>
          </cell>
          <cell r="M8">
            <v>757.16</v>
          </cell>
          <cell r="N8">
            <v>748.3</v>
          </cell>
          <cell r="O8">
            <v>771.5</v>
          </cell>
          <cell r="P8">
            <v>847.6</v>
          </cell>
          <cell r="Q8">
            <v>910.5</v>
          </cell>
          <cell r="R8">
            <v>974.4</v>
          </cell>
          <cell r="S8">
            <v>941.63967400000001</v>
          </cell>
          <cell r="T8">
            <v>832.6</v>
          </cell>
          <cell r="U8">
            <v>838</v>
          </cell>
          <cell r="V8">
            <v>925.63</v>
          </cell>
          <cell r="W8">
            <v>519.76501050399997</v>
          </cell>
          <cell r="X8">
            <v>299.73273799899999</v>
          </cell>
          <cell r="Y8">
            <v>415.09000000000003</v>
          </cell>
          <cell r="Z8">
            <v>474</v>
          </cell>
        </row>
        <row r="9">
          <cell r="D9">
            <v>165.69600000000003</v>
          </cell>
          <cell r="E9">
            <v>177.19499999999999</v>
          </cell>
          <cell r="F9">
            <v>94.223000000000013</v>
          </cell>
          <cell r="G9">
            <v>106.19900000000001</v>
          </cell>
          <cell r="H9">
            <v>110.58100000000002</v>
          </cell>
          <cell r="I9">
            <v>76.658999999999992</v>
          </cell>
          <cell r="J9">
            <v>108.04100000000005</v>
          </cell>
          <cell r="K9">
            <v>166.37999999999988</v>
          </cell>
          <cell r="L9">
            <v>175.7700000000001</v>
          </cell>
          <cell r="M9">
            <v>189.26</v>
          </cell>
          <cell r="N9">
            <v>179.94199999999989</v>
          </cell>
          <cell r="O9">
            <v>171.60000000000002</v>
          </cell>
          <cell r="P9">
            <v>191.10000000000002</v>
          </cell>
          <cell r="Q9">
            <v>190.29999999999995</v>
          </cell>
          <cell r="R9">
            <v>199.39999999999998</v>
          </cell>
          <cell r="S9">
            <v>167.33967400000006</v>
          </cell>
          <cell r="T9">
            <v>144.48000000000002</v>
          </cell>
          <cell r="U9">
            <v>149.19999999999999</v>
          </cell>
          <cell r="V9">
            <v>169.83</v>
          </cell>
          <cell r="W9">
            <v>128.090777231</v>
          </cell>
          <cell r="X9">
            <v>58.808280740000001</v>
          </cell>
          <cell r="Y9">
            <v>73.61</v>
          </cell>
          <cell r="Z9">
            <v>95</v>
          </cell>
        </row>
        <row r="10">
          <cell r="D10">
            <v>100.03400000000001</v>
          </cell>
          <cell r="E10">
            <v>108.48500000000003</v>
          </cell>
          <cell r="F10">
            <v>137.70699999999999</v>
          </cell>
          <cell r="G10">
            <v>136.31099999999998</v>
          </cell>
          <cell r="H10">
            <v>171.35899999999998</v>
          </cell>
          <cell r="I10">
            <v>204.721</v>
          </cell>
          <cell r="J10">
            <v>213.30899999999997</v>
          </cell>
          <cell r="K10">
            <v>462.05000000000007</v>
          </cell>
          <cell r="L10">
            <v>527.29999999999995</v>
          </cell>
          <cell r="M10">
            <v>567.9</v>
          </cell>
          <cell r="N10">
            <v>568.35800000000006</v>
          </cell>
          <cell r="O10">
            <v>599.9</v>
          </cell>
          <cell r="P10">
            <v>656.5</v>
          </cell>
          <cell r="Q10">
            <v>720.2</v>
          </cell>
          <cell r="R10">
            <v>775</v>
          </cell>
          <cell r="S10">
            <v>774.3</v>
          </cell>
          <cell r="T10">
            <v>688.12</v>
          </cell>
          <cell r="U10">
            <v>688.8</v>
          </cell>
          <cell r="V10">
            <v>755.8</v>
          </cell>
          <cell r="W10">
            <v>391.67423327300003</v>
          </cell>
          <cell r="X10">
            <v>240.92445725900001</v>
          </cell>
          <cell r="Y10">
            <v>341.48</v>
          </cell>
          <cell r="Z10">
            <v>379</v>
          </cell>
        </row>
        <row r="11">
          <cell r="C11">
            <v>35.39</v>
          </cell>
          <cell r="D11">
            <v>31.66</v>
          </cell>
          <cell r="E11">
            <v>28.25</v>
          </cell>
          <cell r="F11">
            <v>42.72</v>
          </cell>
          <cell r="G11">
            <v>12.18</v>
          </cell>
          <cell r="H11">
            <v>10</v>
          </cell>
          <cell r="I11">
            <v>15.27</v>
          </cell>
          <cell r="J11">
            <v>19.329999999999998</v>
          </cell>
          <cell r="K11">
            <v>23.47</v>
          </cell>
          <cell r="L11">
            <v>21.77</v>
          </cell>
          <cell r="M11">
            <v>19.34</v>
          </cell>
          <cell r="N11">
            <v>28.42</v>
          </cell>
          <cell r="O11">
            <v>28.5</v>
          </cell>
          <cell r="P11">
            <v>35.299999999999997</v>
          </cell>
          <cell r="Q11">
            <v>31.4</v>
          </cell>
          <cell r="R11">
            <v>25.13</v>
          </cell>
          <cell r="S11">
            <v>19.399999999999999</v>
          </cell>
          <cell r="T11">
            <v>15.7</v>
          </cell>
          <cell r="U11">
            <v>49.150000000000006</v>
          </cell>
          <cell r="V11">
            <v>31.400000000000002</v>
          </cell>
          <cell r="W11">
            <v>35.4</v>
          </cell>
          <cell r="X11">
            <v>13.785608459999999</v>
          </cell>
          <cell r="Y11">
            <v>17.048618965999999</v>
          </cell>
          <cell r="Z11">
            <v>23.207999999999998</v>
          </cell>
        </row>
        <row r="12">
          <cell r="C12">
            <v>5.64</v>
          </cell>
          <cell r="D12">
            <v>6.36</v>
          </cell>
          <cell r="E12">
            <v>4.57</v>
          </cell>
          <cell r="F12">
            <v>3.62</v>
          </cell>
          <cell r="G12">
            <v>9.32</v>
          </cell>
          <cell r="H12">
            <v>8.0299999999999994</v>
          </cell>
          <cell r="I12">
            <v>8.93</v>
          </cell>
          <cell r="J12">
            <v>10.129999999999999</v>
          </cell>
          <cell r="K12">
            <v>23.47</v>
          </cell>
          <cell r="L12">
            <v>21.77</v>
          </cell>
          <cell r="M12">
            <v>19.34</v>
          </cell>
          <cell r="N12">
            <v>27.4</v>
          </cell>
          <cell r="O12">
            <v>28.497999999999998</v>
          </cell>
          <cell r="P12">
            <v>35.299999999999997</v>
          </cell>
          <cell r="Q12">
            <v>31.4</v>
          </cell>
          <cell r="R12">
            <v>25.1</v>
          </cell>
          <cell r="S12">
            <v>19.3749</v>
          </cell>
          <cell r="T12">
            <v>15.7</v>
          </cell>
          <cell r="U12">
            <v>49.150000000000006</v>
          </cell>
          <cell r="V12">
            <v>31.400000000000002</v>
          </cell>
          <cell r="W12">
            <v>35.4</v>
          </cell>
          <cell r="X12">
            <v>13.785608459999999</v>
          </cell>
          <cell r="Y12">
            <v>17.048618965999999</v>
          </cell>
          <cell r="Z12">
            <v>23.207999999999998</v>
          </cell>
        </row>
        <row r="13">
          <cell r="C13">
            <v>3.08</v>
          </cell>
          <cell r="D13">
            <v>3.97</v>
          </cell>
          <cell r="E13">
            <v>2.63</v>
          </cell>
          <cell r="F13">
            <v>1.93</v>
          </cell>
          <cell r="G13">
            <v>5.86</v>
          </cell>
          <cell r="H13">
            <v>4.88</v>
          </cell>
          <cell r="I13">
            <v>5.16</v>
          </cell>
          <cell r="J13">
            <v>5.24</v>
          </cell>
          <cell r="K13">
            <v>13.15</v>
          </cell>
          <cell r="L13">
            <v>11.11</v>
          </cell>
          <cell r="M13">
            <v>11.29</v>
          </cell>
          <cell r="N13">
            <v>15.6</v>
          </cell>
          <cell r="O13">
            <v>17.52</v>
          </cell>
          <cell r="P13">
            <v>24.2</v>
          </cell>
          <cell r="Q13">
            <v>19.3</v>
          </cell>
          <cell r="R13">
            <v>15.3</v>
          </cell>
          <cell r="S13">
            <v>13.706700000000001</v>
          </cell>
          <cell r="T13">
            <v>15.7</v>
          </cell>
          <cell r="U13">
            <v>34.450000000000003</v>
          </cell>
          <cell r="V13">
            <v>22.1</v>
          </cell>
          <cell r="W13">
            <v>26.4</v>
          </cell>
          <cell r="X13">
            <v>8.6844545209999993</v>
          </cell>
          <cell r="Y13">
            <v>9.0068206719999999</v>
          </cell>
          <cell r="Z13">
            <v>15.326000000000001</v>
          </cell>
        </row>
        <row r="14">
          <cell r="C14">
            <v>2.56</v>
          </cell>
          <cell r="D14">
            <v>2.39</v>
          </cell>
          <cell r="E14">
            <v>1.94</v>
          </cell>
          <cell r="F14">
            <v>1.69</v>
          </cell>
          <cell r="G14">
            <v>3.46</v>
          </cell>
          <cell r="H14">
            <v>3.15</v>
          </cell>
          <cell r="I14">
            <v>3.77</v>
          </cell>
          <cell r="J14">
            <v>4.8899999999999997</v>
          </cell>
          <cell r="K14">
            <v>10.32</v>
          </cell>
          <cell r="L14">
            <v>10.66</v>
          </cell>
          <cell r="M14">
            <v>8.0500000000000007</v>
          </cell>
          <cell r="N14">
            <v>11.8</v>
          </cell>
          <cell r="O14">
            <v>10.978</v>
          </cell>
          <cell r="P14">
            <v>11.1</v>
          </cell>
          <cell r="Q14">
            <v>12.1</v>
          </cell>
          <cell r="R14">
            <v>9.8000000000000007</v>
          </cell>
          <cell r="S14">
            <v>5.6681999999999997</v>
          </cell>
          <cell r="T14">
            <v>0</v>
          </cell>
          <cell r="U14">
            <v>14.7</v>
          </cell>
          <cell r="V14">
            <v>9.3000000000000007</v>
          </cell>
          <cell r="W14">
            <v>9</v>
          </cell>
          <cell r="X14">
            <v>5.1011539389999996</v>
          </cell>
          <cell r="Y14">
            <v>8.0417982939999995</v>
          </cell>
          <cell r="Z14">
            <v>7.8819999999999997</v>
          </cell>
        </row>
        <row r="15">
          <cell r="C15">
            <v>29.75</v>
          </cell>
          <cell r="D15">
            <v>25.3</v>
          </cell>
          <cell r="E15">
            <v>23.68</v>
          </cell>
          <cell r="F15">
            <v>39.1</v>
          </cell>
          <cell r="G15">
            <v>2.8599999999999994</v>
          </cell>
          <cell r="H15">
            <v>1.9700000000000006</v>
          </cell>
          <cell r="I15">
            <v>6.34</v>
          </cell>
          <cell r="J15">
            <v>9.1999999999999993</v>
          </cell>
          <cell r="K15">
            <v>2.5</v>
          </cell>
          <cell r="L15">
            <v>0</v>
          </cell>
          <cell r="M15">
            <v>0</v>
          </cell>
          <cell r="N15">
            <v>1.0200000000000031</v>
          </cell>
          <cell r="O15">
            <v>2.0000000000024443E-3</v>
          </cell>
          <cell r="P15">
            <v>0</v>
          </cell>
          <cell r="Q15">
            <v>0</v>
          </cell>
          <cell r="R15">
            <v>2.9999999999997584E-2</v>
          </cell>
          <cell r="S15">
            <v>2.5099999999998346E-2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FE Recettes - dépenses"/>
      <sheetName val="balance des payements"/>
      <sheetName val="Dett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61">
          <cell r="B161" t="str">
            <v>Taxa de câmbio média anual (MT/USD)</v>
          </cell>
          <cell r="D161">
            <v>12691</v>
          </cell>
          <cell r="E161">
            <v>15226.083333333334</v>
          </cell>
          <cell r="F161">
            <v>20707.035</v>
          </cell>
          <cell r="G161">
            <v>23666</v>
          </cell>
          <cell r="H161">
            <v>24179</v>
          </cell>
          <cell r="I161">
            <v>25893.494742048999</v>
          </cell>
          <cell r="J161">
            <v>27777.631161014684</v>
          </cell>
          <cell r="K161">
            <v>29809.097489514974</v>
          </cell>
          <cell r="L161">
            <v>31989.131398163063</v>
          </cell>
          <cell r="M161">
            <v>34328.598105624573</v>
          </cell>
          <cell r="N161">
            <v>36839.157438490576</v>
          </cell>
          <cell r="O161">
            <v>39533.321943477131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SUP"/>
      <sheetName val="DESPESA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eses"/>
      <sheetName val="BE"/>
      <sheetName val="Sortie TaBEN"/>
      <sheetName val="Indicateurs"/>
      <sheetName val="Noyau"/>
      <sheetName val="Répartition Revenu"/>
      <sheetName val="Bilan alimentaire"/>
      <sheetName val="PIP &amp; Dépenses ordinaires"/>
      <sheetName val="Depenses détaillées"/>
      <sheetName val="DémoII - projection et synthèse"/>
      <sheetName val="TES 1997"/>
      <sheetName val="TES 1998"/>
      <sheetName val="TES 2000"/>
      <sheetName val="PIB courant"/>
      <sheetName val="Equil emp-res"/>
      <sheetName val="Epar-Inv"/>
      <sheetName val="TOFE Rec-dép"/>
      <sheetName val="TOFE Fin"/>
      <sheetName val="bal des paie"/>
      <sheetName val="monnaie"/>
      <sheetName val="DémoI - Données de base"/>
      <sheetName val="Module4"/>
    </sheetNames>
    <sheetDataSet>
      <sheetData sheetId="0">
        <row r="100">
          <cell r="A100" t="str">
            <v>Propension moyenne à consommer</v>
          </cell>
        </row>
      </sheetData>
      <sheetData sheetId="1">
        <row r="48">
          <cell r="D48">
            <v>4705806.3089558622</v>
          </cell>
        </row>
      </sheetData>
      <sheetData sheetId="2">
        <row r="100">
          <cell r="A100" t="str">
            <v>Propension moyenne à consommer</v>
          </cell>
        </row>
      </sheetData>
      <sheetData sheetId="3">
        <row r="48">
          <cell r="D48">
            <v>4705806.3089558622</v>
          </cell>
        </row>
      </sheetData>
      <sheetData sheetId="4">
        <row r="100">
          <cell r="A100" t="str">
            <v>Propension moyenne à consommer</v>
          </cell>
          <cell r="F100">
            <v>0.9869150384981491</v>
          </cell>
          <cell r="G100">
            <v>0.95482225335334614</v>
          </cell>
          <cell r="H100">
            <v>0.95191105358497763</v>
          </cell>
          <cell r="I100">
            <v>0.95191105358497763</v>
          </cell>
          <cell r="J100">
            <v>0.95191105358497763</v>
          </cell>
          <cell r="K100">
            <v>0.95191105358497763</v>
          </cell>
        </row>
        <row r="200">
          <cell r="A200" t="str">
            <v>Salaires dans la fonction publique</v>
          </cell>
        </row>
        <row r="201">
          <cell r="B201" t="str">
            <v>Effectif de la Fonction publique</v>
          </cell>
          <cell r="F201">
            <v>32000</v>
          </cell>
          <cell r="G201">
            <v>31766.666666666668</v>
          </cell>
          <cell r="H201">
            <v>31600</v>
          </cell>
          <cell r="I201">
            <v>31363.333333333332</v>
          </cell>
          <cell r="J201">
            <v>31123.333333333332</v>
          </cell>
          <cell r="K201">
            <v>30880</v>
          </cell>
        </row>
        <row r="202">
          <cell r="B202" t="str">
            <v>départ à la retraite</v>
          </cell>
          <cell r="G202">
            <v>700</v>
          </cell>
          <cell r="H202">
            <v>500</v>
          </cell>
          <cell r="I202">
            <v>710</v>
          </cell>
          <cell r="J202">
            <v>720</v>
          </cell>
          <cell r="K202">
            <v>730</v>
          </cell>
        </row>
        <row r="203">
          <cell r="B203" t="str">
            <v>Nouveau recrutement</v>
          </cell>
          <cell r="G203">
            <v>466.66666666666669</v>
          </cell>
          <cell r="H203">
            <v>333.33333333333331</v>
          </cell>
          <cell r="I203">
            <v>473.33333333333331</v>
          </cell>
          <cell r="J203">
            <v>480</v>
          </cell>
          <cell r="K203">
            <v>486.66666666666669</v>
          </cell>
        </row>
        <row r="204">
          <cell r="B204" t="str">
            <v>Taux de croissance des glissements catégoriels en %</v>
          </cell>
          <cell r="G204">
            <v>0.10299999999999999</v>
          </cell>
          <cell r="H204">
            <v>0</v>
          </cell>
          <cell r="I204">
            <v>9.2999999999999999E-2</v>
          </cell>
          <cell r="J204">
            <v>0</v>
          </cell>
          <cell r="K204">
            <v>0</v>
          </cell>
        </row>
        <row r="205">
          <cell r="B205" t="str">
            <v>Taux de croissance du Point indiciaire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B206" t="str">
            <v>Indice des glissements catégoriels</v>
          </cell>
          <cell r="F206">
            <v>1</v>
          </cell>
          <cell r="G206">
            <v>1.103</v>
          </cell>
          <cell r="H206">
            <v>1.103</v>
          </cell>
          <cell r="I206">
            <v>1.205579</v>
          </cell>
          <cell r="J206">
            <v>1.205579</v>
          </cell>
          <cell r="K206">
            <v>1.205579</v>
          </cell>
        </row>
        <row r="207">
          <cell r="B207" t="str">
            <v>Indice du point indiciaire</v>
          </cell>
          <cell r="F207">
            <v>1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1</v>
          </cell>
        </row>
        <row r="208">
          <cell r="B208" t="str">
            <v>Masse salariale en valeur</v>
          </cell>
          <cell r="F208">
            <v>62</v>
          </cell>
          <cell r="G208">
            <v>64.575000000000003</v>
          </cell>
          <cell r="H208">
            <v>66.180000000000007</v>
          </cell>
          <cell r="I208">
            <v>71.792992474683558</v>
          </cell>
          <cell r="J208">
            <v>71.243614702531659</v>
          </cell>
          <cell r="K208">
            <v>70.686606683544326</v>
          </cell>
        </row>
        <row r="209">
          <cell r="B209" t="str">
            <v>Masse salariale en volume</v>
          </cell>
          <cell r="F209">
            <v>62</v>
          </cell>
          <cell r="G209">
            <v>61.547916666666673</v>
          </cell>
          <cell r="H209">
            <v>61.225000000000001</v>
          </cell>
          <cell r="I209">
            <v>60.766458333333333</v>
          </cell>
          <cell r="J209">
            <v>60.301458333333336</v>
          </cell>
          <cell r="K209">
            <v>59.830000000000005</v>
          </cell>
        </row>
        <row r="210">
          <cell r="B210" t="str">
            <v>Déflateur</v>
          </cell>
          <cell r="F210">
            <v>1</v>
          </cell>
          <cell r="G210">
            <v>1.0491825474731746</v>
          </cell>
          <cell r="H210">
            <v>1.0809309922417314</v>
          </cell>
          <cell r="I210">
            <v>1.1814575745202125</v>
          </cell>
          <cell r="J210">
            <v>1.1814575745202125</v>
          </cell>
          <cell r="K210">
            <v>1.1814575745202125</v>
          </cell>
        </row>
        <row r="520">
          <cell r="A520" t="str">
            <v>Calcul du revenu agrégé des ménages</v>
          </cell>
        </row>
        <row r="521">
          <cell r="B521" t="str">
            <v>Revenus secteur primaire</v>
          </cell>
        </row>
        <row r="522">
          <cell r="C522" t="str">
            <v>Y compris autoconsommation</v>
          </cell>
          <cell r="F522">
            <v>541.1</v>
          </cell>
          <cell r="G522">
            <v>624.95909344120969</v>
          </cell>
          <cell r="H522">
            <v>653.75344947328631</v>
          </cell>
          <cell r="I522">
            <v>666.4207508632868</v>
          </cell>
          <cell r="J522">
            <v>715.98826336123057</v>
          </cell>
          <cell r="K522">
            <v>753.95174528243024</v>
          </cell>
        </row>
        <row r="523">
          <cell r="C523" t="str">
            <v>Hors autoconsommation (HA)</v>
          </cell>
          <cell r="F523">
            <v>495.14982368699646</v>
          </cell>
          <cell r="G523">
            <v>569.73582024222742</v>
          </cell>
          <cell r="H523">
            <v>597.16299591652967</v>
          </cell>
          <cell r="I523">
            <v>607.87729298396766</v>
          </cell>
          <cell r="J523">
            <v>653.46588519641534</v>
          </cell>
          <cell r="K523">
            <v>688.95558338791238</v>
          </cell>
        </row>
        <row r="524">
          <cell r="B524" t="str">
            <v>Revenus du secteur de transf. Pour l'export.</v>
          </cell>
          <cell r="F524">
            <v>66.974050866855507</v>
          </cell>
          <cell r="G524">
            <v>89.104088147808582</v>
          </cell>
          <cell r="H524">
            <v>106.79546064372568</v>
          </cell>
          <cell r="I524">
            <v>111.40944330915399</v>
          </cell>
          <cell r="J524">
            <v>113.93929819956394</v>
          </cell>
          <cell r="K524">
            <v>117.45263192193514</v>
          </cell>
        </row>
        <row r="525">
          <cell r="B525" t="str">
            <v>Revenus tirés de la réexportation</v>
          </cell>
          <cell r="F525">
            <v>5.431924882629108</v>
          </cell>
          <cell r="G525">
            <v>11.94836132030122</v>
          </cell>
          <cell r="H525">
            <v>9.3111885755487975</v>
          </cell>
          <cell r="I525">
            <v>4.0192307692307772</v>
          </cell>
          <cell r="J525">
            <v>6.6649413145539818</v>
          </cell>
          <cell r="K525">
            <v>6.9981883802816967</v>
          </cell>
        </row>
        <row r="526">
          <cell r="B526" t="str">
            <v>Salaire du secteur privé non agricole (y;c informel)</v>
          </cell>
          <cell r="F526">
            <v>279.01568614710703</v>
          </cell>
          <cell r="G526">
            <v>283.84291107310571</v>
          </cell>
          <cell r="H526">
            <v>317.33506486984703</v>
          </cell>
          <cell r="I526">
            <v>387.05445014583483</v>
          </cell>
          <cell r="J526">
            <v>436.53347252690662</v>
          </cell>
          <cell r="K526">
            <v>486.11193359032717</v>
          </cell>
        </row>
        <row r="527">
          <cell r="B527" t="str">
            <v>Salaires SBEE</v>
          </cell>
          <cell r="F527">
            <v>3.8130000000000002</v>
          </cell>
          <cell r="G527">
            <v>4.0999999999999996</v>
          </cell>
          <cell r="H527">
            <v>4.8876315789473681</v>
          </cell>
          <cell r="I527">
            <v>5.7991748684210522</v>
          </cell>
          <cell r="J527">
            <v>6.0891336118421044</v>
          </cell>
          <cell r="K527">
            <v>6.3935902924342107</v>
          </cell>
        </row>
        <row r="528">
          <cell r="B528" t="str">
            <v>Salaires de l'administration publique</v>
          </cell>
          <cell r="F528">
            <v>82.336470588235301</v>
          </cell>
          <cell r="G528">
            <v>83.949786238886745</v>
          </cell>
          <cell r="H528">
            <v>85.950381654368684</v>
          </cell>
          <cell r="I528">
            <v>93.20796340039621</v>
          </cell>
          <cell r="J528">
            <v>93.163186343457056</v>
          </cell>
          <cell r="K528">
            <v>93.168179566165847</v>
          </cell>
        </row>
        <row r="529">
          <cell r="B529" t="str">
            <v>Variation des arriérés de salaire</v>
          </cell>
          <cell r="F529">
            <v>6.9700000000000006</v>
          </cell>
          <cell r="G529">
            <v>5.1172151898734182</v>
          </cell>
          <cell r="H529">
            <v>4.9848734177215199</v>
          </cell>
          <cell r="I529">
            <v>3.9702531645569623</v>
          </cell>
          <cell r="J529">
            <v>3.9702531645569623</v>
          </cell>
          <cell r="K529">
            <v>3.9702531645569623</v>
          </cell>
        </row>
        <row r="530">
          <cell r="B530" t="str">
            <v>Transferts</v>
          </cell>
        </row>
        <row r="531">
          <cell r="C531" t="str">
            <v>Transferts aux ménages</v>
          </cell>
          <cell r="F531">
            <v>16.240000000000002</v>
          </cell>
          <cell r="G531">
            <v>16.786999999999999</v>
          </cell>
          <cell r="H531">
            <v>17.931000000000001</v>
          </cell>
          <cell r="I531">
            <v>17.36</v>
          </cell>
          <cell r="J531">
            <v>17.36</v>
          </cell>
          <cell r="K531">
            <v>17.36</v>
          </cell>
        </row>
        <row r="532">
          <cell r="C532" t="str">
            <v>Transferts reçus de l'extérieur</v>
          </cell>
          <cell r="F532">
            <v>42</v>
          </cell>
          <cell r="G532">
            <v>44.5</v>
          </cell>
          <cell r="H532">
            <v>56.099999999999994</v>
          </cell>
          <cell r="I532">
            <v>44.5</v>
          </cell>
          <cell r="J532">
            <v>44.5</v>
          </cell>
          <cell r="K532">
            <v>44.5</v>
          </cell>
        </row>
        <row r="534">
          <cell r="B534" t="str">
            <v>Total des revenus des MEI hors autoconsommation</v>
          </cell>
          <cell r="F534">
            <v>997.93095617182348</v>
          </cell>
          <cell r="G534">
            <v>1109.0851822122031</v>
          </cell>
          <cell r="H534">
            <v>1200.4585966566885</v>
          </cell>
          <cell r="I534">
            <v>1275.1978086415613</v>
          </cell>
          <cell r="J534">
            <v>1375.6861703572956</v>
          </cell>
          <cell r="K534">
            <v>1464.9103603036133</v>
          </cell>
        </row>
        <row r="535">
          <cell r="B535" t="str">
            <v>Impôts sur les revenus et salaires des ménages</v>
          </cell>
          <cell r="F535">
            <v>13.814</v>
          </cell>
          <cell r="G535">
            <v>15.55</v>
          </cell>
          <cell r="H535">
            <v>16.672000000000001</v>
          </cell>
          <cell r="I535">
            <v>14.410478639291032</v>
          </cell>
          <cell r="J535">
            <v>15.997397640044056</v>
          </cell>
          <cell r="K535">
            <v>17.587691187627271</v>
          </cell>
        </row>
        <row r="536">
          <cell r="B536" t="str">
            <v>Revenu disponible agrégé des ménages (HA)</v>
          </cell>
          <cell r="F536">
            <v>984.11695617182352</v>
          </cell>
          <cell r="G536">
            <v>1093.5351822122032</v>
          </cell>
          <cell r="H536">
            <v>1183.7865966566885</v>
          </cell>
          <cell r="I536">
            <v>1260.7873300022702</v>
          </cell>
          <cell r="J536">
            <v>1359.6887727172516</v>
          </cell>
          <cell r="K536">
            <v>1447.3226691159859</v>
          </cell>
        </row>
        <row r="537">
          <cell r="B537" t="str">
            <v>Revenu disponible agrégé des ménages y;c autocons.</v>
          </cell>
          <cell r="F537">
            <v>1030.0671324848272</v>
          </cell>
          <cell r="G537">
            <v>1148.7584554111854</v>
          </cell>
          <cell r="H537">
            <v>1240.3770502134453</v>
          </cell>
          <cell r="I537">
            <v>1319.3307878815892</v>
          </cell>
          <cell r="J537">
            <v>1422.2111508820667</v>
          </cell>
          <cell r="K537">
            <v>1512.318831010504</v>
          </cell>
        </row>
        <row r="539">
          <cell r="A539" t="str">
            <v>Consommation finale des ménages</v>
          </cell>
          <cell r="E539">
            <v>1996</v>
          </cell>
          <cell r="F539">
            <v>1997</v>
          </cell>
          <cell r="G539">
            <v>1998</v>
          </cell>
          <cell r="H539">
            <v>1999</v>
          </cell>
          <cell r="I539">
            <v>2000</v>
          </cell>
          <cell r="J539">
            <v>2001</v>
          </cell>
          <cell r="K539">
            <v>2002</v>
          </cell>
          <cell r="L539">
            <v>2003</v>
          </cell>
          <cell r="M539">
            <v>2004</v>
          </cell>
          <cell r="N539">
            <v>2005</v>
          </cell>
        </row>
        <row r="540">
          <cell r="B540" t="str">
            <v>Consommation finale totale HA</v>
          </cell>
          <cell r="F540">
            <v>971.23982368699649</v>
          </cell>
          <cell r="G540">
            <v>1044.1317268010177</v>
          </cell>
          <cell r="H540">
            <v>1126.8595464432433</v>
          </cell>
          <cell r="I540">
            <v>1200.157395649052</v>
          </cell>
          <cell r="J540">
            <v>1294.3027721849442</v>
          </cell>
          <cell r="K540">
            <v>1377.7224468356201</v>
          </cell>
          <cell r="L540">
            <v>1413.5903945722441</v>
          </cell>
          <cell r="M540">
            <v>1459.2453806311921</v>
          </cell>
          <cell r="N540">
            <v>1527.7694410148617</v>
          </cell>
        </row>
        <row r="541">
          <cell r="B541" t="str">
            <v>Consommation finale importée</v>
          </cell>
          <cell r="F541">
            <v>182.11318890071448</v>
          </cell>
          <cell r="G541">
            <v>215.09053932033228</v>
          </cell>
          <cell r="H541">
            <v>220.85573109266323</v>
          </cell>
          <cell r="I541">
            <v>231.10334439140621</v>
          </cell>
          <cell r="J541">
            <v>241.08830320238189</v>
          </cell>
          <cell r="K541">
            <v>252.88210561178647</v>
          </cell>
          <cell r="L541">
            <v>263.5882324622288</v>
          </cell>
          <cell r="M541">
            <v>276.73050758486846</v>
          </cell>
          <cell r="N541">
            <v>293.99522022184863</v>
          </cell>
        </row>
        <row r="542">
          <cell r="C542" t="str">
            <v>dont consommation importée non vivrière</v>
          </cell>
          <cell r="F542">
            <v>47.508265023547715</v>
          </cell>
          <cell r="G542">
            <v>48.774999999999999</v>
          </cell>
          <cell r="H542">
            <v>50.074999999999996</v>
          </cell>
          <cell r="I542">
            <v>53.165372580200284</v>
          </cell>
          <cell r="J542">
            <v>58.058261064809244</v>
          </cell>
          <cell r="K542">
            <v>62.469891709111941</v>
          </cell>
          <cell r="L542">
            <v>64.181994703014894</v>
          </cell>
          <cell r="M542">
            <v>66.251544981761768</v>
          </cell>
          <cell r="N542">
            <v>69.367385729045907</v>
          </cell>
        </row>
        <row r="543">
          <cell r="C543" t="str">
            <v>dont consommation de vivriers (hors réexport)</v>
          </cell>
          <cell r="F543">
            <v>72.57989167553589</v>
          </cell>
          <cell r="G543">
            <v>81.625</v>
          </cell>
          <cell r="H543">
            <v>74.724999999999994</v>
          </cell>
          <cell r="I543">
            <v>74.822816452170116</v>
          </cell>
          <cell r="J543">
            <v>74.924574787503076</v>
          </cell>
          <cell r="K543">
            <v>75.030150309998817</v>
          </cell>
          <cell r="L543">
            <v>75.139425336480272</v>
          </cell>
          <cell r="M543">
            <v>75.252288726913321</v>
          </cell>
          <cell r="N543">
            <v>75.368635452083595</v>
          </cell>
        </row>
        <row r="544">
          <cell r="C544" t="str">
            <v>dont conso services importés et différence ERE-BP</v>
          </cell>
          <cell r="F544">
            <v>62.025032201630871</v>
          </cell>
          <cell r="G544">
            <v>84.690539320332277</v>
          </cell>
          <cell r="H544">
            <v>96.055731092663237</v>
          </cell>
          <cell r="I544">
            <v>103.11515535903584</v>
          </cell>
          <cell r="J544">
            <v>108.10546735006957</v>
          </cell>
          <cell r="K544">
            <v>115.38206359267571</v>
          </cell>
          <cell r="L544">
            <v>124.26681242273364</v>
          </cell>
          <cell r="M544">
            <v>135.22667387619336</v>
          </cell>
          <cell r="N544">
            <v>149.25919904071915</v>
          </cell>
        </row>
        <row r="545">
          <cell r="B545" t="str">
            <v>Consommation locale HA</v>
          </cell>
          <cell r="F545">
            <v>789.12663478628201</v>
          </cell>
          <cell r="G545">
            <v>829.04118748068549</v>
          </cell>
          <cell r="H545">
            <v>906.00381535058</v>
          </cell>
          <cell r="I545">
            <v>969.05405125764582</v>
          </cell>
          <cell r="J545">
            <v>1053.2144689825623</v>
          </cell>
          <cell r="K545">
            <v>1124.8403412238335</v>
          </cell>
          <cell r="L545">
            <v>1150.0021621100154</v>
          </cell>
          <cell r="M545">
            <v>1182.5148730463236</v>
          </cell>
          <cell r="N545">
            <v>1233.7742207930132</v>
          </cell>
        </row>
        <row r="546">
          <cell r="C546" t="str">
            <v>Consommation locale de vivriers, viande, pêche, bois</v>
          </cell>
          <cell r="F546">
            <v>486.52325770001744</v>
          </cell>
          <cell r="G546">
            <v>548.97726706345441</v>
          </cell>
          <cell r="H546">
            <v>573.01645606492104</v>
          </cell>
          <cell r="I546">
            <v>597.23535682868692</v>
          </cell>
          <cell r="J546">
            <v>641.51948859928098</v>
          </cell>
          <cell r="K546">
            <v>676.56205284050588</v>
          </cell>
          <cell r="L546">
            <v>707.32456927793407</v>
          </cell>
          <cell r="M546">
            <v>739.38399126378101</v>
          </cell>
          <cell r="N546">
            <v>772.79566819180684</v>
          </cell>
        </row>
        <row r="547">
          <cell r="C547" t="str">
            <v>Consommation locale de non vivriers</v>
          </cell>
          <cell r="F547">
            <v>302.60337708626457</v>
          </cell>
          <cell r="G547">
            <v>280.06392041723109</v>
          </cell>
          <cell r="H547">
            <v>332.98735928565895</v>
          </cell>
          <cell r="I547">
            <v>371.81869442895891</v>
          </cell>
          <cell r="J547">
            <v>411.69498038328129</v>
          </cell>
          <cell r="K547">
            <v>448.27828838332766</v>
          </cell>
          <cell r="L547">
            <v>442.67759283208136</v>
          </cell>
          <cell r="M547">
            <v>443.13088178254259</v>
          </cell>
          <cell r="N547">
            <v>460.97855260120639</v>
          </cell>
        </row>
        <row r="548">
          <cell r="D548" t="str">
            <v xml:space="preserve">Consommation eau et  électricité </v>
          </cell>
          <cell r="F548">
            <v>5</v>
          </cell>
          <cell r="G548">
            <v>5.4</v>
          </cell>
          <cell r="H548">
            <v>8.8738138344865298</v>
          </cell>
          <cell r="I548">
            <v>9.2843527410476696</v>
          </cell>
          <cell r="J548">
            <v>8.0827804096241973</v>
          </cell>
          <cell r="K548">
            <v>7.2490249462119243</v>
          </cell>
          <cell r="L548">
            <v>5.2913172055536393</v>
          </cell>
          <cell r="M548">
            <v>2.7300908463799618</v>
          </cell>
          <cell r="N548">
            <v>-0.72166718531321195</v>
          </cell>
        </row>
        <row r="549">
          <cell r="D549" t="str">
            <v>Consommation locale de Xts secteur "demande"</v>
          </cell>
          <cell r="F549">
            <v>297.60337708626457</v>
          </cell>
          <cell r="G549">
            <v>274.66392041723111</v>
          </cell>
          <cell r="H549">
            <v>324.1135454511724</v>
          </cell>
          <cell r="I549">
            <v>362.53434168791125</v>
          </cell>
          <cell r="J549">
            <v>403.61219997365708</v>
          </cell>
          <cell r="K549">
            <v>441.02926343711573</v>
          </cell>
          <cell r="L549">
            <v>437.38627562652772</v>
          </cell>
          <cell r="M549">
            <v>440.40079093616265</v>
          </cell>
          <cell r="N549">
            <v>461.7002197865196</v>
          </cell>
        </row>
        <row r="551">
          <cell r="B551" t="str">
            <v>Contrôle</v>
          </cell>
        </row>
        <row r="552">
          <cell r="C552" t="str">
            <v>Consommation finale (calculée)</v>
          </cell>
          <cell r="F552">
            <v>1017.1900000000002</v>
          </cell>
          <cell r="G552">
            <v>1099.355</v>
          </cell>
          <cell r="H552">
            <v>1183.4499999999998</v>
          </cell>
          <cell r="I552">
            <v>1258.700853528371</v>
          </cell>
          <cell r="J552">
            <v>1356.8251503497595</v>
          </cell>
          <cell r="K552">
            <v>1442.7186087301377</v>
          </cell>
          <cell r="L552">
            <v>1480.3672589574155</v>
          </cell>
          <cell r="M552">
            <v>1527.8512532996701</v>
          </cell>
          <cell r="N552">
            <v>1598.2539920324316</v>
          </cell>
        </row>
        <row r="553">
          <cell r="C553" t="str">
            <v>Consommation finale (de base) contrôle</v>
          </cell>
          <cell r="F553">
            <v>1017.19</v>
          </cell>
          <cell r="G553">
            <v>1099.355</v>
          </cell>
          <cell r="H553">
            <v>1183.45</v>
          </cell>
        </row>
        <row r="555">
          <cell r="A555" t="str">
            <v>Investissement</v>
          </cell>
          <cell r="E555">
            <v>1996</v>
          </cell>
          <cell r="F555">
            <v>1997</v>
          </cell>
          <cell r="G555">
            <v>1998</v>
          </cell>
          <cell r="H555">
            <v>1999</v>
          </cell>
          <cell r="I555">
            <v>2000</v>
          </cell>
          <cell r="J555">
            <v>2001</v>
          </cell>
          <cell r="K555">
            <v>2002</v>
          </cell>
        </row>
        <row r="556">
          <cell r="A556" t="str">
            <v>FBCF privée (MEI et SQS)</v>
          </cell>
        </row>
        <row r="557">
          <cell r="B557" t="str">
            <v>en milliards F cfa constants</v>
          </cell>
          <cell r="F557">
            <v>139.4</v>
          </cell>
          <cell r="G557">
            <v>165.11002680583374</v>
          </cell>
          <cell r="H557">
            <v>164.71234262416371</v>
          </cell>
          <cell r="I557">
            <v>194.36056429651316</v>
          </cell>
          <cell r="J557">
            <v>230.3172686913681</v>
          </cell>
          <cell r="K557">
            <v>271.77437705581434</v>
          </cell>
        </row>
        <row r="558">
          <cell r="C558" t="str">
            <v>estimation économétrique</v>
          </cell>
          <cell r="F558">
            <v>139.4</v>
          </cell>
          <cell r="G558">
            <v>86.838252721782098</v>
          </cell>
          <cell r="H558">
            <v>99.035457943326492</v>
          </cell>
          <cell r="I558">
            <v>103.22950049251892</v>
          </cell>
          <cell r="J558">
            <v>112.29607583066615</v>
          </cell>
          <cell r="K558">
            <v>125.38324727816369</v>
          </cell>
        </row>
        <row r="559">
          <cell r="C559" t="str">
            <v>ajustement</v>
          </cell>
          <cell r="G559">
            <v>78.271774084051643</v>
          </cell>
          <cell r="H559">
            <v>65.676884680837219</v>
          </cell>
          <cell r="I559">
            <v>91.131063803994238</v>
          </cell>
          <cell r="J559">
            <v>118.02119286070194</v>
          </cell>
          <cell r="K559">
            <v>146.39112977765063</v>
          </cell>
        </row>
        <row r="560">
          <cell r="B560" t="str">
            <v>en milliards F cfa courants</v>
          </cell>
          <cell r="F560">
            <v>139.4</v>
          </cell>
          <cell r="G560">
            <v>164.50749999999999</v>
          </cell>
          <cell r="H560">
            <v>179.00000000000003</v>
          </cell>
          <cell r="I560">
            <v>220.53849679052706</v>
          </cell>
          <cell r="J560">
            <v>261.23479682134911</v>
          </cell>
          <cell r="K560">
            <v>313.29422170110576</v>
          </cell>
        </row>
        <row r="561">
          <cell r="A561" t="str">
            <v>FBCF des administrations publiques</v>
          </cell>
        </row>
        <row r="562">
          <cell r="B562" t="str">
            <v>en milliards F cfa constants</v>
          </cell>
          <cell r="F562">
            <v>83.7</v>
          </cell>
          <cell r="G562">
            <v>77.727647164724942</v>
          </cell>
          <cell r="H562">
            <v>80.607828010484567</v>
          </cell>
          <cell r="I562">
            <v>84.03133250191604</v>
          </cell>
          <cell r="J562">
            <v>107.57366375773637</v>
          </cell>
          <cell r="K562">
            <v>131.50301495763702</v>
          </cell>
        </row>
        <row r="563">
          <cell r="B563" t="str">
            <v>en milliards F cfa courants</v>
          </cell>
          <cell r="F563">
            <v>83.7</v>
          </cell>
          <cell r="G563">
            <v>77.444000000000003</v>
          </cell>
          <cell r="H563">
            <v>87.6</v>
          </cell>
          <cell r="I563">
            <v>95.349299999999999</v>
          </cell>
          <cell r="J563">
            <v>122.01423</v>
          </cell>
          <cell r="K563">
            <v>151.59315300000003</v>
          </cell>
        </row>
        <row r="564">
          <cell r="A564" t="str">
            <v>FBCF totale</v>
          </cell>
        </row>
        <row r="565">
          <cell r="B565" t="str">
            <v>en milliards F cfa courants</v>
          </cell>
          <cell r="F565">
            <v>223.10000000000002</v>
          </cell>
          <cell r="G565">
            <v>241.95150000000001</v>
          </cell>
          <cell r="H565">
            <v>266.60000000000002</v>
          </cell>
          <cell r="I565">
            <v>315.88779679052709</v>
          </cell>
          <cell r="J565">
            <v>383.2490268213491</v>
          </cell>
          <cell r="K565">
            <v>464.88737470110578</v>
          </cell>
        </row>
        <row r="566">
          <cell r="C566" t="str">
            <v xml:space="preserve">en produits locaux </v>
          </cell>
          <cell r="F566">
            <v>170.60000000000002</v>
          </cell>
          <cell r="G566">
            <v>186.45150000000001</v>
          </cell>
          <cell r="H566">
            <v>208.90000000000003</v>
          </cell>
          <cell r="I566">
            <v>250.40923298668858</v>
          </cell>
          <cell r="J566">
            <v>303.77612105956041</v>
          </cell>
          <cell r="K566">
            <v>370.03538817680777</v>
          </cell>
        </row>
        <row r="567">
          <cell r="C567" t="str">
            <v>en produits importés</v>
          </cell>
          <cell r="F567">
            <v>52.5</v>
          </cell>
          <cell r="G567">
            <v>55.5</v>
          </cell>
          <cell r="H567">
            <v>57.7</v>
          </cell>
          <cell r="I567">
            <v>65.478563803838512</v>
          </cell>
          <cell r="J567">
            <v>79.472905761788709</v>
          </cell>
          <cell r="K567">
            <v>94.851986524297999</v>
          </cell>
        </row>
        <row r="568">
          <cell r="B568" t="str">
            <v>en milliards F cfa constants</v>
          </cell>
          <cell r="F568">
            <v>223.10000000000002</v>
          </cell>
          <cell r="G568">
            <v>242.83767397055868</v>
          </cell>
          <cell r="H568">
            <v>245.32017063464826</v>
          </cell>
          <cell r="I568">
            <v>278.39189679842923</v>
          </cell>
          <cell r="J568">
            <v>337.89093244910447</v>
          </cell>
          <cell r="K568">
            <v>403.27739201345139</v>
          </cell>
        </row>
        <row r="752">
          <cell r="A752" t="str">
            <v>Commerce extérieur</v>
          </cell>
          <cell r="E752">
            <v>1996</v>
          </cell>
          <cell r="F752">
            <v>1997</v>
          </cell>
          <cell r="G752">
            <v>1998</v>
          </cell>
          <cell r="H752">
            <v>1999</v>
          </cell>
          <cell r="I752">
            <v>2000</v>
          </cell>
          <cell r="J752">
            <v>2001</v>
          </cell>
          <cell r="K752">
            <v>2002</v>
          </cell>
        </row>
        <row r="754">
          <cell r="A754" t="str">
            <v>Exportations de biens</v>
          </cell>
        </row>
        <row r="755">
          <cell r="B755" t="str">
            <v>Coton et dérivés</v>
          </cell>
        </row>
        <row r="756">
          <cell r="D756" t="str">
            <v>volume</v>
          </cell>
          <cell r="F756">
            <v>130.70000000000002</v>
          </cell>
          <cell r="G756">
            <v>125.23903659723545</v>
          </cell>
          <cell r="H756">
            <v>116.94516921117402</v>
          </cell>
          <cell r="I756">
            <v>142.3169898356422</v>
          </cell>
          <cell r="J756">
            <v>146.12435246929942</v>
          </cell>
          <cell r="K756">
            <v>158.36566382136394</v>
          </cell>
        </row>
        <row r="757">
          <cell r="D757" t="str">
            <v>valeur</v>
          </cell>
          <cell r="F757">
            <v>130.70000000000002</v>
          </cell>
          <cell r="G757">
            <v>115.3</v>
          </cell>
          <cell r="H757">
            <v>116.30000000000001</v>
          </cell>
          <cell r="I757">
            <v>135.30953956711778</v>
          </cell>
          <cell r="J757">
            <v>141.07966734817671</v>
          </cell>
          <cell r="K757">
            <v>150.87987219009841</v>
          </cell>
        </row>
        <row r="758">
          <cell r="C758" t="str">
            <v>Graine de coton</v>
          </cell>
        </row>
        <row r="759">
          <cell r="D759" t="str">
            <v>volume</v>
          </cell>
          <cell r="F759">
            <v>6.8</v>
          </cell>
          <cell r="G759">
            <v>20.112213576464214</v>
          </cell>
          <cell r="H759">
            <v>14.691355164258937</v>
          </cell>
          <cell r="I759">
            <v>22.113252186150213</v>
          </cell>
          <cell r="J759">
            <v>19.859995217429478</v>
          </cell>
          <cell r="K759">
            <v>19.448844403349284</v>
          </cell>
        </row>
        <row r="760">
          <cell r="D760" t="str">
            <v>valeur</v>
          </cell>
          <cell r="F760">
            <v>6.8</v>
          </cell>
          <cell r="G760">
            <v>11.1</v>
          </cell>
          <cell r="H760">
            <v>8.9</v>
          </cell>
          <cell r="I760">
            <v>12.481882720513903</v>
          </cell>
          <cell r="J760">
            <v>12.072335652501055</v>
          </cell>
          <cell r="K760">
            <v>12.197723129429917</v>
          </cell>
        </row>
        <row r="761">
          <cell r="C761" t="str">
            <v>Fibre de coton</v>
          </cell>
        </row>
        <row r="762">
          <cell r="D762" t="str">
            <v>volume</v>
          </cell>
          <cell r="F762">
            <v>123.9</v>
          </cell>
          <cell r="G762">
            <v>105.12682302077124</v>
          </cell>
          <cell r="H762">
            <v>102.01149467200399</v>
          </cell>
          <cell r="I762">
            <v>119.86751951680286</v>
          </cell>
          <cell r="J762">
            <v>125.860895492643</v>
          </cell>
          <cell r="K762">
            <v>138.44611403224988</v>
          </cell>
        </row>
        <row r="763">
          <cell r="D763" t="str">
            <v>valeur</v>
          </cell>
          <cell r="F763">
            <v>123.9</v>
          </cell>
          <cell r="G763">
            <v>104.2</v>
          </cell>
          <cell r="H763">
            <v>107</v>
          </cell>
          <cell r="I763">
            <v>122.23200340840162</v>
          </cell>
          <cell r="J763">
            <v>128.3436035788217</v>
          </cell>
          <cell r="K763">
            <v>137.93162572853365</v>
          </cell>
        </row>
        <row r="764">
          <cell r="C764" t="str">
            <v>Touteaux de coton</v>
          </cell>
        </row>
        <row r="765">
          <cell r="D765" t="str">
            <v>volume</v>
          </cell>
          <cell r="H765">
            <v>0.24231937491108727</v>
          </cell>
          <cell r="I765">
            <v>0.33621813268913353</v>
          </cell>
          <cell r="J765">
            <v>0.40346175922696037</v>
          </cell>
          <cell r="K765">
            <v>0.47070538576478693</v>
          </cell>
        </row>
        <row r="766">
          <cell r="D766" t="str">
            <v>valeur</v>
          </cell>
          <cell r="H766">
            <v>0.4</v>
          </cell>
          <cell r="I766">
            <v>0.59565343820224714</v>
          </cell>
          <cell r="J766">
            <v>0.66372811685393263</v>
          </cell>
          <cell r="K766">
            <v>0.75052333213483147</v>
          </cell>
        </row>
        <row r="767">
          <cell r="B767" t="str">
            <v>Produits du palmier</v>
          </cell>
        </row>
        <row r="768">
          <cell r="D768" t="str">
            <v>volume</v>
          </cell>
          <cell r="F768">
            <v>0.7</v>
          </cell>
          <cell r="G768">
            <v>4.2211560256894591</v>
          </cell>
          <cell r="H768">
            <v>3.1226293917642614</v>
          </cell>
          <cell r="I768">
            <v>3.4348923309406882</v>
          </cell>
          <cell r="J768">
            <v>3.7783815640347567</v>
          </cell>
          <cell r="K768">
            <v>4.1562197204382327</v>
          </cell>
        </row>
        <row r="769">
          <cell r="D769" t="str">
            <v>valeur</v>
          </cell>
          <cell r="F769">
            <v>0.7</v>
          </cell>
          <cell r="G769">
            <v>4.3</v>
          </cell>
          <cell r="H769">
            <v>3.3299999999999996</v>
          </cell>
          <cell r="I769">
            <v>4.4655494400000002</v>
          </cell>
          <cell r="J769">
            <v>4.9121043840000009</v>
          </cell>
          <cell r="K769">
            <v>4.9506811200000014</v>
          </cell>
        </row>
        <row r="770">
          <cell r="B770" t="str">
            <v>Réexportations</v>
          </cell>
        </row>
        <row r="771">
          <cell r="D771" t="str">
            <v>volume</v>
          </cell>
          <cell r="F771">
            <v>89</v>
          </cell>
          <cell r="G771">
            <v>93.205431186336469</v>
          </cell>
          <cell r="H771">
            <v>90.901803933187423</v>
          </cell>
          <cell r="I771">
            <v>89.325491095745207</v>
          </cell>
          <cell r="J771">
            <v>97.245602477388175</v>
          </cell>
          <cell r="K771">
            <v>99.633139809321534</v>
          </cell>
        </row>
        <row r="772">
          <cell r="D772" t="str">
            <v>valeur</v>
          </cell>
          <cell r="F772">
            <v>89</v>
          </cell>
          <cell r="G772">
            <v>92.6</v>
          </cell>
          <cell r="H772">
            <v>100</v>
          </cell>
          <cell r="I772">
            <v>104.5</v>
          </cell>
          <cell r="J772">
            <v>109.20249999999999</v>
          </cell>
          <cell r="K772">
            <v>114.66262499999999</v>
          </cell>
        </row>
        <row r="773">
          <cell r="B773" t="str">
            <v>Autres exportations</v>
          </cell>
        </row>
        <row r="774">
          <cell r="D774" t="str">
            <v>volume</v>
          </cell>
          <cell r="F774">
            <v>17.2</v>
          </cell>
          <cell r="G774">
            <v>19.325532168225273</v>
          </cell>
          <cell r="H774">
            <v>17.476994637837098</v>
          </cell>
          <cell r="I774">
            <v>16.710620070387392</v>
          </cell>
          <cell r="J774">
            <v>16.405453020256086</v>
          </cell>
          <cell r="K774">
            <v>15.733417150409929</v>
          </cell>
        </row>
        <row r="775">
          <cell r="D775" t="str">
            <v>valeur</v>
          </cell>
          <cell r="E775">
            <v>17.100000000000001</v>
          </cell>
          <cell r="F775">
            <v>17.2</v>
          </cell>
          <cell r="G775">
            <v>19.2</v>
          </cell>
          <cell r="H775">
            <v>19.226235213860708</v>
          </cell>
          <cell r="I775">
            <v>19.180543854561364</v>
          </cell>
          <cell r="J775">
            <v>18.68577632070993</v>
          </cell>
          <cell r="K775">
            <v>18.192184977711143</v>
          </cell>
        </row>
        <row r="776">
          <cell r="B776" t="str">
            <v>Nouvelles exportations non traditionnelles</v>
          </cell>
        </row>
        <row r="777">
          <cell r="D777" t="str">
            <v>volume</v>
          </cell>
        </row>
        <row r="778">
          <cell r="D778" t="str">
            <v>valeur</v>
          </cell>
        </row>
        <row r="780">
          <cell r="A780" t="str">
            <v>Total des exportations</v>
          </cell>
        </row>
        <row r="781">
          <cell r="D781" t="str">
            <v>volume</v>
          </cell>
          <cell r="F781">
            <v>237.6</v>
          </cell>
          <cell r="G781">
            <v>241.99115597748664</v>
          </cell>
          <cell r="H781">
            <v>228.4465971739628</v>
          </cell>
          <cell r="I781">
            <v>251.7879933327155</v>
          </cell>
          <cell r="J781">
            <v>263.55378953097841</v>
          </cell>
          <cell r="K781">
            <v>277.88844050153364</v>
          </cell>
        </row>
        <row r="782">
          <cell r="D782" t="str">
            <v>valeur</v>
          </cell>
          <cell r="F782">
            <v>237.6</v>
          </cell>
          <cell r="G782">
            <v>231.39999999999998</v>
          </cell>
          <cell r="H782">
            <v>238.85623521386071</v>
          </cell>
          <cell r="I782">
            <v>263.45563286167913</v>
          </cell>
          <cell r="J782">
            <v>273.88004805288665</v>
          </cell>
          <cell r="K782">
            <v>288.68536328780954</v>
          </cell>
        </row>
        <row r="784">
          <cell r="A784" t="str">
            <v>Importations de biens CAF</v>
          </cell>
        </row>
        <row r="785">
          <cell r="B785" t="str">
            <v>Importations de vivriers</v>
          </cell>
        </row>
        <row r="786">
          <cell r="D786" t="str">
            <v>volume</v>
          </cell>
          <cell r="F786">
            <v>123</v>
          </cell>
          <cell r="G786">
            <v>124.63406433528816</v>
          </cell>
          <cell r="H786">
            <v>111.51788517053492</v>
          </cell>
          <cell r="I786">
            <v>110.91309648930421</v>
          </cell>
          <cell r="J786">
            <v>115.67206144479745</v>
          </cell>
          <cell r="K786">
            <v>116.64424066861056</v>
          </cell>
        </row>
        <row r="787">
          <cell r="D787" t="str">
            <v>valeur</v>
          </cell>
          <cell r="F787">
            <v>123</v>
          </cell>
          <cell r="G787">
            <v>130.30000000000001</v>
          </cell>
          <cell r="H787">
            <v>127.3</v>
          </cell>
          <cell r="I787">
            <v>132.18767577520407</v>
          </cell>
          <cell r="J787">
            <v>133.46366315583481</v>
          </cell>
          <cell r="K787">
            <v>136.49619309674713</v>
          </cell>
        </row>
        <row r="788">
          <cell r="C788" t="str">
            <v>Importations de vivriers réexportés</v>
          </cell>
        </row>
        <row r="789">
          <cell r="D789" t="str">
            <v>volume</v>
          </cell>
        </row>
        <row r="790">
          <cell r="D790" t="str">
            <v>valeur</v>
          </cell>
          <cell r="F790">
            <v>50.420108324464103</v>
          </cell>
          <cell r="G790">
            <v>48.675000000000004</v>
          </cell>
          <cell r="H790">
            <v>52.574999999999996</v>
          </cell>
          <cell r="I790">
            <v>57.364859323033954</v>
          </cell>
          <cell r="J790">
            <v>58.53908836833174</v>
          </cell>
          <cell r="K790">
            <v>61.466042786748318</v>
          </cell>
        </row>
        <row r="791">
          <cell r="C791" t="str">
            <v>Importations de vivriers non réexportés</v>
          </cell>
        </row>
        <row r="792">
          <cell r="D792" t="str">
            <v>volume</v>
          </cell>
        </row>
        <row r="793">
          <cell r="D793" t="str">
            <v>valeur</v>
          </cell>
          <cell r="F793">
            <v>72.57989167553589</v>
          </cell>
          <cell r="G793">
            <v>81.625</v>
          </cell>
          <cell r="H793">
            <v>74.724999999999994</v>
          </cell>
          <cell r="I793">
            <v>74.822816452170116</v>
          </cell>
          <cell r="J793">
            <v>74.924574787503076</v>
          </cell>
          <cell r="K793">
            <v>75.030150309998817</v>
          </cell>
        </row>
        <row r="794">
          <cell r="B794" t="str">
            <v>Importations autres produits de consommation</v>
          </cell>
        </row>
        <row r="795">
          <cell r="D795" t="str">
            <v>volume</v>
          </cell>
          <cell r="F795">
            <v>64.314967798369082</v>
          </cell>
          <cell r="G795">
            <v>64.701321229620504</v>
          </cell>
          <cell r="H795">
            <v>65.412153336298815</v>
          </cell>
          <cell r="I795">
            <v>67.266725248473307</v>
          </cell>
          <cell r="J795">
            <v>70.596247449591033</v>
          </cell>
          <cell r="K795">
            <v>73.204913703180679</v>
          </cell>
        </row>
        <row r="796">
          <cell r="D796" t="str">
            <v>valeur</v>
          </cell>
          <cell r="F796">
            <v>64.314967798369082</v>
          </cell>
          <cell r="G796">
            <v>65</v>
          </cell>
          <cell r="H796">
            <v>67.599999999999994</v>
          </cell>
          <cell r="I796">
            <v>72.286992354544921</v>
          </cell>
          <cell r="J796">
            <v>77.571290520919817</v>
          </cell>
          <cell r="K796">
            <v>82.958572638028045</v>
          </cell>
        </row>
        <row r="797">
          <cell r="C797" t="str">
            <v>Importations autres produits de consommation réexportés</v>
          </cell>
        </row>
        <row r="798">
          <cell r="D798" t="str">
            <v>volume</v>
          </cell>
          <cell r="F798">
            <v>16.806702774821368</v>
          </cell>
          <cell r="G798">
            <v>16.581086324918672</v>
          </cell>
          <cell r="H798">
            <v>16.271650811915727</v>
          </cell>
          <cell r="I798">
            <v>15.763070060236892</v>
          </cell>
          <cell r="J798">
            <v>15.074417889494915</v>
          </cell>
          <cell r="K798">
            <v>14.23085028983202</v>
          </cell>
        </row>
        <row r="799">
          <cell r="D799" t="str">
            <v>valeur</v>
          </cell>
          <cell r="F799">
            <v>16.806702774821368</v>
          </cell>
          <cell r="G799">
            <v>16.225000000000001</v>
          </cell>
          <cell r="H799">
            <v>17.524999999999999</v>
          </cell>
          <cell r="I799">
            <v>19.121619774344651</v>
          </cell>
          <cell r="J799">
            <v>19.51302945611058</v>
          </cell>
          <cell r="K799">
            <v>20.488680928916111</v>
          </cell>
        </row>
        <row r="800">
          <cell r="C800" t="str">
            <v>Importation autres produits de consommation non réexportés</v>
          </cell>
        </row>
        <row r="801">
          <cell r="D801" t="str">
            <v>volume</v>
          </cell>
          <cell r="F801">
            <v>47.508265023547715</v>
          </cell>
          <cell r="G801">
            <v>48.120234904701825</v>
          </cell>
          <cell r="H801">
            <v>49.140502524383088</v>
          </cell>
          <cell r="I801">
            <v>51.503655188236387</v>
          </cell>
          <cell r="J801">
            <v>55.521829560096101</v>
          </cell>
          <cell r="K801">
            <v>58.974063413348645</v>
          </cell>
        </row>
        <row r="802">
          <cell r="D802" t="str">
            <v>valeur</v>
          </cell>
          <cell r="F802">
            <v>47.508265023547715</v>
          </cell>
          <cell r="G802">
            <v>48.774999999999999</v>
          </cell>
          <cell r="H802">
            <v>50.074999999999996</v>
          </cell>
          <cell r="I802">
            <v>53.165372580200284</v>
          </cell>
          <cell r="J802">
            <v>58.058261064809244</v>
          </cell>
          <cell r="K802">
            <v>62.469891709111941</v>
          </cell>
        </row>
        <row r="803">
          <cell r="B803" t="str">
            <v>Importations liées à la consommation finale des administrations</v>
          </cell>
        </row>
        <row r="804">
          <cell r="D804" t="str">
            <v>volume</v>
          </cell>
          <cell r="F804">
            <v>9.15</v>
          </cell>
          <cell r="G804">
            <v>10.737755705923192</v>
          </cell>
          <cell r="H804">
            <v>11.551822795986968</v>
          </cell>
          <cell r="I804">
            <v>13.250330636159855</v>
          </cell>
          <cell r="J804">
            <v>15.87645036235887</v>
          </cell>
          <cell r="K804">
            <v>18.80591973768675</v>
          </cell>
        </row>
        <row r="805">
          <cell r="D805" t="str">
            <v>valeur</v>
          </cell>
          <cell r="F805">
            <v>9.15</v>
          </cell>
          <cell r="G805">
            <v>10.95586930990663</v>
          </cell>
          <cell r="H805">
            <v>12.168007792320184</v>
          </cell>
          <cell r="I805">
            <v>14.279220820317798</v>
          </cell>
          <cell r="J805">
            <v>16.996122127614807</v>
          </cell>
          <cell r="K805">
            <v>20.250399316847712</v>
          </cell>
        </row>
        <row r="806">
          <cell r="B806" t="str">
            <v>Importations liées à la FBCF</v>
          </cell>
        </row>
        <row r="807">
          <cell r="D807" t="str">
            <v>volume</v>
          </cell>
          <cell r="F807">
            <v>52.5</v>
          </cell>
          <cell r="G807">
            <v>54.754957195509</v>
          </cell>
          <cell r="H807">
            <v>56.623205105479869</v>
          </cell>
          <cell r="I807">
            <v>63.431989821694039</v>
          </cell>
          <cell r="J807">
            <v>76.000917826768017</v>
          </cell>
          <cell r="K807">
            <v>89.544049383234679</v>
          </cell>
        </row>
        <row r="808">
          <cell r="D808" t="str">
            <v>valeur</v>
          </cell>
          <cell r="F808">
            <v>52.5</v>
          </cell>
          <cell r="G808">
            <v>55.5</v>
          </cell>
          <cell r="H808">
            <v>57.7</v>
          </cell>
          <cell r="I808">
            <v>65.478563803838512</v>
          </cell>
          <cell r="J808">
            <v>79.472905761788709</v>
          </cell>
          <cell r="K808">
            <v>94.851986524297999</v>
          </cell>
        </row>
        <row r="809">
          <cell r="B809" t="str">
            <v>importations liées aux consommations intermédiaires</v>
          </cell>
        </row>
        <row r="810">
          <cell r="D810" t="str">
            <v>volume</v>
          </cell>
          <cell r="F810">
            <v>136.70000000000002</v>
          </cell>
          <cell r="G810">
            <v>138.18776699466994</v>
          </cell>
          <cell r="H810">
            <v>149.39159524014073</v>
          </cell>
          <cell r="I810">
            <v>162.16508728319047</v>
          </cell>
          <cell r="J810">
            <v>185.07673494149543</v>
          </cell>
          <cell r="K810">
            <v>208.89139338397732</v>
          </cell>
        </row>
        <row r="811">
          <cell r="D811" t="str">
            <v>valeur</v>
          </cell>
          <cell r="F811">
            <v>136.70000000000002</v>
          </cell>
          <cell r="G811">
            <v>128.32359136976109</v>
          </cell>
          <cell r="H811">
            <v>151.44626111501665</v>
          </cell>
          <cell r="I811">
            <v>180.19720299537173</v>
          </cell>
          <cell r="J811">
            <v>191.96698133265693</v>
          </cell>
          <cell r="K811">
            <v>220.71032617759491</v>
          </cell>
        </row>
        <row r="812">
          <cell r="I812">
            <v>0.18984253337571677</v>
          </cell>
          <cell r="J812">
            <v>6.5316098927392874E-2</v>
          </cell>
          <cell r="K812">
            <v>0.14973067058406797</v>
          </cell>
        </row>
        <row r="814">
          <cell r="A814" t="str">
            <v>Total des importations CAF</v>
          </cell>
          <cell r="G814">
            <v>1.1446445101040537E-2</v>
          </cell>
          <cell r="H814">
            <v>6.699867812094551E-2</v>
          </cell>
          <cell r="I814">
            <v>0.11584270517326889</v>
          </cell>
          <cell r="J814">
            <v>7.5450192974875652E-2</v>
          </cell>
          <cell r="K814">
            <v>0.11171122847836945</v>
          </cell>
        </row>
        <row r="815">
          <cell r="D815" t="str">
            <v>volume</v>
          </cell>
          <cell r="F815">
            <v>385.6649677983691</v>
          </cell>
          <cell r="G815">
            <v>393.01586546101078</v>
          </cell>
          <cell r="H815">
            <v>394.49666164844132</v>
          </cell>
          <cell r="I815">
            <v>417.02722947882182</v>
          </cell>
          <cell r="J815">
            <v>463.22241202501078</v>
          </cell>
          <cell r="K815">
            <v>507.09051687669</v>
          </cell>
        </row>
        <row r="816">
          <cell r="D816" t="str">
            <v>valeur</v>
          </cell>
          <cell r="F816">
            <v>385.6649677983691</v>
          </cell>
          <cell r="G816">
            <v>390.0794606796677</v>
          </cell>
          <cell r="H816">
            <v>416.21426890733687</v>
          </cell>
          <cell r="I816">
            <v>464.429655749277</v>
          </cell>
          <cell r="J816">
            <v>499.47096289881506</v>
          </cell>
          <cell r="K816">
            <v>555.26747775351578</v>
          </cell>
        </row>
        <row r="817">
          <cell r="A817" t="str">
            <v>Assurances et Fret</v>
          </cell>
          <cell r="G817">
            <v>1.9060319905656709E-2</v>
          </cell>
          <cell r="H817">
            <v>3.7677771244515323E-3</v>
          </cell>
          <cell r="I817">
            <v>5.7112188823688514E-2</v>
          </cell>
          <cell r="J817">
            <v>0.11077258097491915</v>
          </cell>
          <cell r="K817">
            <v>9.470203451492476E-2</v>
          </cell>
        </row>
        <row r="818">
          <cell r="D818" t="str">
            <v>valeur</v>
          </cell>
          <cell r="F818">
            <v>65.960000000000036</v>
          </cell>
          <cell r="G818">
            <v>69.7</v>
          </cell>
          <cell r="H818">
            <v>72.5</v>
          </cell>
          <cell r="I818">
            <v>80.898596125061999</v>
          </cell>
          <cell r="J818">
            <v>87.002410814094461</v>
          </cell>
          <cell r="K818">
            <v>96.721557006716722</v>
          </cell>
        </row>
        <row r="819">
          <cell r="A819" t="str">
            <v>Total importations FAB</v>
          </cell>
          <cell r="F819">
            <v>319.70496779836907</v>
          </cell>
          <cell r="G819">
            <v>320.37946067966772</v>
          </cell>
          <cell r="H819">
            <v>343.71426890733687</v>
          </cell>
          <cell r="I819">
            <v>383.531059624215</v>
          </cell>
          <cell r="J819">
            <v>412.46855208472061</v>
          </cell>
          <cell r="K819">
            <v>458.54592074679908</v>
          </cell>
        </row>
        <row r="821">
          <cell r="A821" t="str">
            <v>Pour mémoire:</v>
          </cell>
        </row>
        <row r="822">
          <cell r="B822" t="str">
            <v>Importations liées aux réexportations</v>
          </cell>
        </row>
        <row r="823">
          <cell r="D823" t="str">
            <v>volume</v>
          </cell>
        </row>
        <row r="824">
          <cell r="D824" t="str">
            <v>valeur</v>
          </cell>
        </row>
        <row r="825">
          <cell r="B825" t="str">
            <v>Importations liées aux investissements publics (exonérées)</v>
          </cell>
        </row>
        <row r="826">
          <cell r="D826" t="str">
            <v>volume</v>
          </cell>
          <cell r="G826">
            <v>17.526003786085223</v>
          </cell>
          <cell r="H826">
            <v>18.605374220705311</v>
          </cell>
          <cell r="I826">
            <v>19.146658682469962</v>
          </cell>
          <cell r="J826">
            <v>24.196260965977761</v>
          </cell>
          <cell r="K826">
            <v>29.199039417062416</v>
          </cell>
        </row>
        <row r="827">
          <cell r="D827" t="str">
            <v>valeur</v>
          </cell>
          <cell r="G827">
            <v>13.457115081458566</v>
          </cell>
          <cell r="H827">
            <v>18.959189797449358</v>
          </cell>
          <cell r="I827">
            <v>19.764407764828746</v>
          </cell>
          <cell r="J827">
            <v>25.301630855562149</v>
          </cell>
          <cell r="K827">
            <v>30.929882134950663</v>
          </cell>
        </row>
        <row r="830">
          <cell r="A830" t="str">
            <v>Exportations de biens FAB</v>
          </cell>
          <cell r="F830">
            <v>237.6</v>
          </cell>
          <cell r="G830">
            <v>231.39999999999998</v>
          </cell>
          <cell r="H830">
            <v>236.7</v>
          </cell>
          <cell r="I830">
            <v>263.45563286167913</v>
          </cell>
          <cell r="J830">
            <v>273.88004805288665</v>
          </cell>
          <cell r="K830">
            <v>288.68536328780954</v>
          </cell>
          <cell r="L830">
            <v>302.02363223800552</v>
          </cell>
          <cell r="M830">
            <v>316.12545467201812</v>
          </cell>
          <cell r="N830">
            <v>331.02615454651391</v>
          </cell>
        </row>
        <row r="832">
          <cell r="A832" t="str">
            <v>Importations de biens FAB</v>
          </cell>
          <cell r="F832">
            <v>-319.70496779836907</v>
          </cell>
          <cell r="G832">
            <v>-320.37946067966772</v>
          </cell>
          <cell r="H832">
            <v>-343.71426890733687</v>
          </cell>
          <cell r="I832">
            <v>-383.531059624215</v>
          </cell>
          <cell r="J832">
            <v>-412.46855208472061</v>
          </cell>
          <cell r="K832">
            <v>-458.54592074679908</v>
          </cell>
          <cell r="L832">
            <v>-515.27648698793303</v>
          </cell>
          <cell r="M832">
            <v>-586.02605901421157</v>
          </cell>
          <cell r="N832">
            <v>-677.30491319046428</v>
          </cell>
        </row>
        <row r="834">
          <cell r="A834" t="str">
            <v>Balance commerciale (FAB-FAB)</v>
          </cell>
          <cell r="F834">
            <v>-82.104967798369074</v>
          </cell>
          <cell r="G834">
            <v>-88.979460679667739</v>
          </cell>
          <cell r="H834">
            <v>-107.01426890733688</v>
          </cell>
          <cell r="I834">
            <v>-120.07542676253587</v>
          </cell>
          <cell r="J834">
            <v>-138.58850403183396</v>
          </cell>
          <cell r="K834">
            <v>-169.86055745898955</v>
          </cell>
          <cell r="L834">
            <v>-213.25285474992751</v>
          </cell>
          <cell r="M834">
            <v>-269.90060434219345</v>
          </cell>
          <cell r="N834">
            <v>-346.27875864395037</v>
          </cell>
        </row>
        <row r="836">
          <cell r="A836" t="str">
            <v xml:space="preserve">Services nets </v>
          </cell>
          <cell r="F836">
            <v>-30.060000000000031</v>
          </cell>
          <cell r="G836">
            <v>-27.000000000000004</v>
          </cell>
          <cell r="H836">
            <v>-29.7</v>
          </cell>
          <cell r="I836">
            <v>-37.996752927175137</v>
          </cell>
          <cell r="J836">
            <v>-43.266839692871045</v>
          </cell>
          <cell r="K836">
            <v>-51.615689837465453</v>
          </cell>
          <cell r="L836">
            <v>-62.401761012332216</v>
          </cell>
          <cell r="M836">
            <v>-76.154013852229568</v>
          </cell>
          <cell r="N836">
            <v>-94.357964836649359</v>
          </cell>
        </row>
        <row r="837">
          <cell r="B837" t="str">
            <v>Frêts et assurances</v>
          </cell>
          <cell r="F837">
            <v>-47.360000000000035</v>
          </cell>
          <cell r="G837">
            <v>-50.400000000000006</v>
          </cell>
          <cell r="H837">
            <v>-51.6</v>
          </cell>
          <cell r="I837">
            <v>-57.636142695365784</v>
          </cell>
          <cell r="J837">
            <v>-62.819508387793945</v>
          </cell>
          <cell r="K837">
            <v>-71.231383399977304</v>
          </cell>
          <cell r="L837">
            <v>-82.019884608789084</v>
          </cell>
          <cell r="M837">
            <v>-95.698009148168424</v>
          </cell>
          <cell r="N837">
            <v>-113.6358572127146</v>
          </cell>
        </row>
        <row r="838">
          <cell r="D838" t="str">
            <v>Crédit</v>
          </cell>
          <cell r="F838">
            <v>18.600000000000001</v>
          </cell>
          <cell r="G838">
            <v>19.3</v>
          </cell>
          <cell r="H838">
            <v>20.9</v>
          </cell>
          <cell r="I838">
            <v>23.262453429696215</v>
          </cell>
          <cell r="J838">
            <v>24.182902426300515</v>
          </cell>
          <cell r="K838">
            <v>25.490173606739418</v>
          </cell>
          <cell r="L838">
            <v>26.667908380964583</v>
          </cell>
          <cell r="M838">
            <v>27.913062960055683</v>
          </cell>
          <cell r="N838">
            <v>29.228756358352943</v>
          </cell>
        </row>
        <row r="839">
          <cell r="D839" t="str">
            <v>Débit</v>
          </cell>
          <cell r="F839">
            <v>-65.960000000000036</v>
          </cell>
          <cell r="G839">
            <v>-69.7</v>
          </cell>
          <cell r="H839">
            <v>-72.5</v>
          </cell>
          <cell r="I839">
            <v>-80.898596125061957</v>
          </cell>
          <cell r="J839">
            <v>-87.002410814094404</v>
          </cell>
          <cell r="K839">
            <v>-96.721557006716665</v>
          </cell>
          <cell r="L839">
            <v>-108.68779298975362</v>
          </cell>
          <cell r="M839">
            <v>-123.61107210822405</v>
          </cell>
          <cell r="N839">
            <v>-142.86461357106748</v>
          </cell>
        </row>
        <row r="840">
          <cell r="B840" t="str">
            <v>Voyages</v>
          </cell>
          <cell r="F840">
            <v>10.1</v>
          </cell>
          <cell r="G840">
            <v>10.600000000000001</v>
          </cell>
          <cell r="H840">
            <v>10.9</v>
          </cell>
          <cell r="I840">
            <v>10.850302613997552</v>
          </cell>
          <cell r="J840">
            <v>10.308425483406019</v>
          </cell>
          <cell r="K840">
            <v>9.7606438754229004</v>
          </cell>
          <cell r="L840">
            <v>9.265240579929964</v>
          </cell>
          <cell r="M840">
            <v>8.8203486360739038</v>
          </cell>
          <cell r="N840">
            <v>8.4243909851889214</v>
          </cell>
        </row>
        <row r="841">
          <cell r="D841" t="str">
            <v>Crédit</v>
          </cell>
          <cell r="F841">
            <v>14.7</v>
          </cell>
          <cell r="G841">
            <v>15.4</v>
          </cell>
          <cell r="H841">
            <v>15.9</v>
          </cell>
          <cell r="I841">
            <v>15.862213475244712</v>
          </cell>
          <cell r="J841">
            <v>15.453043208641168</v>
          </cell>
          <cell r="K841">
            <v>15.044845645967909</v>
          </cell>
          <cell r="L841">
            <v>14.680563898036995</v>
          </cell>
          <cell r="M841">
            <v>14.357517557086899</v>
          </cell>
          <cell r="N841">
            <v>14.073361289184287</v>
          </cell>
        </row>
        <row r="842">
          <cell r="D842" t="str">
            <v>Débit</v>
          </cell>
          <cell r="F842">
            <v>-4.5999999999999996</v>
          </cell>
          <cell r="G842">
            <v>-4.8</v>
          </cell>
          <cell r="H842">
            <v>-5</v>
          </cell>
          <cell r="I842">
            <v>-5.0119108612471583</v>
          </cell>
          <cell r="J842">
            <v>-5.1446177252351495</v>
          </cell>
          <cell r="K842">
            <v>-5.2842017705450095</v>
          </cell>
          <cell r="L842">
            <v>-5.4153233181070313</v>
          </cell>
          <cell r="M842">
            <v>-5.5371689210129951</v>
          </cell>
          <cell r="N842">
            <v>-5.6489703039953669</v>
          </cell>
        </row>
        <row r="843">
          <cell r="B843" t="str">
            <v>Opérations gouvernementales</v>
          </cell>
          <cell r="F843">
            <v>9.9999999999999645E-2</v>
          </cell>
          <cell r="G843">
            <v>1.0999999999999996</v>
          </cell>
          <cell r="H843">
            <v>1.6999999999999993</v>
          </cell>
          <cell r="I843">
            <v>9.9999999999999645E-2</v>
          </cell>
          <cell r="J843">
            <v>9.9999999999999645E-2</v>
          </cell>
          <cell r="K843">
            <v>9.9999999999999645E-2</v>
          </cell>
          <cell r="L843">
            <v>9.9999999999999645E-2</v>
          </cell>
          <cell r="M843">
            <v>9.9999999999999645E-2</v>
          </cell>
          <cell r="N843">
            <v>9.9999999999999645E-2</v>
          </cell>
        </row>
        <row r="844">
          <cell r="D844" t="str">
            <v>Crédit</v>
          </cell>
          <cell r="F844">
            <v>10.5</v>
          </cell>
          <cell r="G844">
            <v>12</v>
          </cell>
          <cell r="H844">
            <v>13.2</v>
          </cell>
          <cell r="I844">
            <v>12</v>
          </cell>
          <cell r="J844">
            <v>12</v>
          </cell>
          <cell r="K844">
            <v>12</v>
          </cell>
          <cell r="L844">
            <v>12</v>
          </cell>
          <cell r="M844">
            <v>12</v>
          </cell>
          <cell r="N844">
            <v>12</v>
          </cell>
        </row>
        <row r="845">
          <cell r="D845" t="str">
            <v>Débit</v>
          </cell>
          <cell r="F845">
            <v>-10.4</v>
          </cell>
          <cell r="G845">
            <v>-10.9</v>
          </cell>
          <cell r="H845">
            <v>-11.5</v>
          </cell>
          <cell r="I845">
            <v>-11.9</v>
          </cell>
          <cell r="J845">
            <v>-11.9</v>
          </cell>
          <cell r="K845">
            <v>-11.9</v>
          </cell>
          <cell r="L845">
            <v>-11.9</v>
          </cell>
          <cell r="M845">
            <v>-11.9</v>
          </cell>
          <cell r="N845">
            <v>-11.9</v>
          </cell>
        </row>
        <row r="846">
          <cell r="B846" t="str">
            <v>Autres services</v>
          </cell>
          <cell r="F846">
            <v>-11.5</v>
          </cell>
          <cell r="G846">
            <v>-10.5</v>
          </cell>
          <cell r="H846">
            <v>-10.7</v>
          </cell>
          <cell r="I846">
            <v>-12</v>
          </cell>
          <cell r="J846">
            <v>-12</v>
          </cell>
          <cell r="K846">
            <v>-12</v>
          </cell>
          <cell r="L846">
            <v>-12</v>
          </cell>
          <cell r="M846">
            <v>-12</v>
          </cell>
          <cell r="N846">
            <v>-12</v>
          </cell>
        </row>
        <row r="847">
          <cell r="D847" t="str">
            <v>Crédit</v>
          </cell>
          <cell r="F847">
            <v>3.5</v>
          </cell>
          <cell r="G847">
            <v>5</v>
          </cell>
          <cell r="H847">
            <v>5.8</v>
          </cell>
          <cell r="I847">
            <v>5</v>
          </cell>
          <cell r="J847">
            <v>5</v>
          </cell>
          <cell r="K847">
            <v>5</v>
          </cell>
          <cell r="L847">
            <v>5</v>
          </cell>
          <cell r="M847">
            <v>5</v>
          </cell>
          <cell r="N847">
            <v>5</v>
          </cell>
        </row>
        <row r="848">
          <cell r="D848" t="str">
            <v>Débit</v>
          </cell>
          <cell r="F848">
            <v>-15</v>
          </cell>
          <cell r="G848">
            <v>-15.5</v>
          </cell>
          <cell r="H848">
            <v>-16.5</v>
          </cell>
          <cell r="I848">
            <v>-17</v>
          </cell>
          <cell r="J848">
            <v>-17</v>
          </cell>
          <cell r="K848">
            <v>-17</v>
          </cell>
          <cell r="L848">
            <v>-17</v>
          </cell>
          <cell r="M848">
            <v>-17</v>
          </cell>
          <cell r="N848">
            <v>-17</v>
          </cell>
        </row>
        <row r="849">
          <cell r="B849" t="str">
            <v>Autres transports</v>
          </cell>
          <cell r="F849">
            <v>18.600000000000001</v>
          </cell>
          <cell r="G849">
            <v>22.2</v>
          </cell>
          <cell r="H849">
            <v>20.000000000000004</v>
          </cell>
          <cell r="I849">
            <v>20.6890871541931</v>
          </cell>
          <cell r="J849">
            <v>21.14424321151688</v>
          </cell>
          <cell r="K849">
            <v>21.755049687088984</v>
          </cell>
          <cell r="L849">
            <v>22.252883016526937</v>
          </cell>
          <cell r="M849">
            <v>22.62364665986502</v>
          </cell>
          <cell r="N849">
            <v>22.753501390876401</v>
          </cell>
        </row>
        <row r="850">
          <cell r="D850" t="str">
            <v>Crédit</v>
          </cell>
          <cell r="F850">
            <v>30.2</v>
          </cell>
          <cell r="G850">
            <v>34</v>
          </cell>
          <cell r="H850">
            <v>32.200000000000003</v>
          </cell>
          <cell r="I850">
            <v>33.54918</v>
          </cell>
          <cell r="J850">
            <v>34.887792281999999</v>
          </cell>
          <cell r="K850">
            <v>36.3740122332132</v>
          </cell>
          <cell r="L850">
            <v>37.923545154348083</v>
          </cell>
          <cell r="M850">
            <v>39.539088177923311</v>
          </cell>
          <cell r="N850">
            <v>41.223453334302846</v>
          </cell>
        </row>
        <row r="851">
          <cell r="D851" t="str">
            <v>Débit</v>
          </cell>
          <cell r="F851">
            <v>-11.6</v>
          </cell>
          <cell r="G851">
            <v>-11.8</v>
          </cell>
          <cell r="H851">
            <v>-12.2</v>
          </cell>
          <cell r="I851">
            <v>-12.8600928458069</v>
          </cell>
          <cell r="J851">
            <v>-13.743549070483121</v>
          </cell>
          <cell r="K851">
            <v>-14.618962546124214</v>
          </cell>
          <cell r="L851">
            <v>-15.670662137821147</v>
          </cell>
          <cell r="M851">
            <v>-16.915441518058287</v>
          </cell>
          <cell r="N851">
            <v>-18.469951943426448</v>
          </cell>
        </row>
        <row r="853">
          <cell r="A853" t="str">
            <v>Revenus des investissements</v>
          </cell>
          <cell r="F853">
            <v>-17.399999999999999</v>
          </cell>
          <cell r="G853">
            <v>-15.7</v>
          </cell>
          <cell r="H853">
            <v>-15.7</v>
          </cell>
          <cell r="I853">
            <v>-25.691144695164212</v>
          </cell>
          <cell r="J853">
            <v>-30.510668414471404</v>
          </cell>
          <cell r="K853">
            <v>-34.214596646316132</v>
          </cell>
          <cell r="L853">
            <v>-36.90626115784854</v>
          </cell>
          <cell r="M853">
            <v>-40.924778857783508</v>
          </cell>
          <cell r="N853">
            <v>-47.504008163962283</v>
          </cell>
        </row>
        <row r="854">
          <cell r="D854" t="str">
            <v>Crédit</v>
          </cell>
          <cell r="F854">
            <v>3.8</v>
          </cell>
          <cell r="G854">
            <v>4.2</v>
          </cell>
          <cell r="H854">
            <v>4.5</v>
          </cell>
          <cell r="I854">
            <v>3.9982362861072649</v>
          </cell>
          <cell r="J854">
            <v>3.0515131854099358</v>
          </cell>
          <cell r="K854">
            <v>1.350450141406957</v>
          </cell>
          <cell r="L854">
            <v>-1.3070034267778969</v>
          </cell>
          <cell r="M854">
            <v>-5.2546532894665141</v>
          </cell>
          <cell r="N854">
            <v>-11.607200864835287</v>
          </cell>
        </row>
        <row r="855">
          <cell r="D855" t="str">
            <v>Débit</v>
          </cell>
          <cell r="F855">
            <v>-21.2</v>
          </cell>
          <cell r="G855">
            <v>-19.899999999999999</v>
          </cell>
          <cell r="H855">
            <v>-20.2</v>
          </cell>
          <cell r="I855">
            <v>-29.689380981271476</v>
          </cell>
          <cell r="J855">
            <v>-33.562181599881342</v>
          </cell>
          <cell r="K855">
            <v>-35.565046787723091</v>
          </cell>
          <cell r="L855">
            <v>-35.599257731070651</v>
          </cell>
          <cell r="M855">
            <v>-35.670125568317005</v>
          </cell>
          <cell r="N855">
            <v>-35.896807299127012</v>
          </cell>
        </row>
        <row r="856">
          <cell r="B856" t="str">
            <v>Dette publique TOFE</v>
          </cell>
          <cell r="F856">
            <v>-18.399999999999999</v>
          </cell>
          <cell r="G856">
            <v>-18.399999999999999</v>
          </cell>
          <cell r="H856">
            <v>-16.2</v>
          </cell>
          <cell r="I856">
            <v>-25.768141983745053</v>
          </cell>
          <cell r="J856">
            <v>-29.129440633859275</v>
          </cell>
          <cell r="K856">
            <v>-30.867776457269095</v>
          </cell>
          <cell r="L856">
            <v>-30.897468974136789</v>
          </cell>
          <cell r="M856">
            <v>-30.958976908350607</v>
          </cell>
          <cell r="N856">
            <v>-31.155719542638536</v>
          </cell>
        </row>
        <row r="857">
          <cell r="D857" t="str">
            <v>Crédit</v>
          </cell>
        </row>
        <row r="858">
          <cell r="D858" t="str">
            <v>Débit</v>
          </cell>
          <cell r="F858">
            <v>-18.399999999999999</v>
          </cell>
          <cell r="G858">
            <v>-18.399999999999999</v>
          </cell>
          <cell r="H858">
            <v>-16.2</v>
          </cell>
          <cell r="I858">
            <v>-25.768141983745053</v>
          </cell>
          <cell r="J858">
            <v>-29.129440633859275</v>
          </cell>
          <cell r="K858">
            <v>-30.867776457269095</v>
          </cell>
          <cell r="L858">
            <v>-30.897468974136789</v>
          </cell>
          <cell r="M858">
            <v>-30.958976908350607</v>
          </cell>
          <cell r="N858">
            <v>-31.155719542638536</v>
          </cell>
        </row>
        <row r="859">
          <cell r="B859" t="str">
            <v>Dette publique non TOFE</v>
          </cell>
          <cell r="F859">
            <v>-2.8000000000000007</v>
          </cell>
          <cell r="G859">
            <v>-2.8000000000000007</v>
          </cell>
          <cell r="H859">
            <v>-2.4652173913043485</v>
          </cell>
          <cell r="I859">
            <v>-3.9212389975264226</v>
          </cell>
          <cell r="J859">
            <v>-4.4327409660220649</v>
          </cell>
          <cell r="K859">
            <v>-4.6972703304539936</v>
          </cell>
          <cell r="L859">
            <v>-4.7017887569338601</v>
          </cell>
          <cell r="M859">
            <v>-4.7111486599663976</v>
          </cell>
          <cell r="N859">
            <v>-4.7410877564884739</v>
          </cell>
        </row>
        <row r="860">
          <cell r="D860" t="str">
            <v>Crédit</v>
          </cell>
        </row>
        <row r="861">
          <cell r="D861" t="str">
            <v>Débit</v>
          </cell>
          <cell r="F861">
            <v>-2.8000000000000007</v>
          </cell>
          <cell r="G861">
            <v>-2.8000000000000007</v>
          </cell>
          <cell r="H861">
            <v>-2.4652173913043485</v>
          </cell>
          <cell r="I861">
            <v>-3.9212389975264226</v>
          </cell>
          <cell r="J861">
            <v>-4.4327409660220649</v>
          </cell>
          <cell r="K861">
            <v>-4.6972703304539936</v>
          </cell>
          <cell r="L861">
            <v>-4.7017887569338601</v>
          </cell>
          <cell r="M861">
            <v>-4.7111486599663976</v>
          </cell>
          <cell r="N861">
            <v>-4.7410877564884739</v>
          </cell>
        </row>
        <row r="862">
          <cell r="B862" t="str">
            <v>Revenus des investissements privés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D863" t="str">
            <v>Crédit</v>
          </cell>
        </row>
        <row r="864">
          <cell r="D864" t="str">
            <v>Débit</v>
          </cell>
        </row>
        <row r="866">
          <cell r="A866" t="str">
            <v xml:space="preserve">Transferts nets </v>
          </cell>
          <cell r="F866">
            <v>54.2</v>
          </cell>
          <cell r="G866">
            <v>54.9</v>
          </cell>
          <cell r="H866">
            <v>75.199999999999989</v>
          </cell>
          <cell r="I866">
            <v>67.240000000000009</v>
          </cell>
          <cell r="J866">
            <v>69.150400000000005</v>
          </cell>
          <cell r="K866">
            <v>71.248204000000001</v>
          </cell>
          <cell r="L866">
            <v>74.552116040000016</v>
          </cell>
          <cell r="M866">
            <v>78.082710200400015</v>
          </cell>
          <cell r="N866">
            <v>81.862617602404015</v>
          </cell>
        </row>
        <row r="867">
          <cell r="B867" t="str">
            <v>Privés (économies sur salaire+divers-débit)</v>
          </cell>
          <cell r="F867">
            <v>42</v>
          </cell>
          <cell r="G867">
            <v>44.5</v>
          </cell>
          <cell r="H867">
            <v>56.099999999999994</v>
          </cell>
          <cell r="I867">
            <v>44.5</v>
          </cell>
          <cell r="J867">
            <v>44.5</v>
          </cell>
          <cell r="K867">
            <v>44.5</v>
          </cell>
          <cell r="L867">
            <v>45.5</v>
          </cell>
          <cell r="M867">
            <v>46.5</v>
          </cell>
          <cell r="N867">
            <v>47.5</v>
          </cell>
        </row>
        <row r="868">
          <cell r="B868" t="str">
            <v>Publics</v>
          </cell>
          <cell r="F868">
            <v>12.2</v>
          </cell>
          <cell r="G868">
            <v>10.4</v>
          </cell>
          <cell r="H868">
            <v>19.100000000000001</v>
          </cell>
          <cell r="I868">
            <v>22.740000000000002</v>
          </cell>
          <cell r="J868">
            <v>24.650400000000005</v>
          </cell>
          <cell r="K868">
            <v>26.748204000000005</v>
          </cell>
          <cell r="L868">
            <v>29.052116040000008</v>
          </cell>
          <cell r="M868">
            <v>31.582710200400008</v>
          </cell>
          <cell r="N868">
            <v>34.362617602404015</v>
          </cell>
        </row>
        <row r="869">
          <cell r="C869" t="str">
            <v>Aide budgétaire (programme)</v>
          </cell>
          <cell r="F869">
            <v>14.2</v>
          </cell>
          <cell r="G869">
            <v>8.3000000000000007</v>
          </cell>
          <cell r="H869">
            <v>15.1</v>
          </cell>
          <cell r="I869">
            <v>18.700000000000003</v>
          </cell>
          <cell r="J869">
            <v>20.570000000000004</v>
          </cell>
          <cell r="K869">
            <v>22.627000000000006</v>
          </cell>
          <cell r="L869">
            <v>24.889700000000008</v>
          </cell>
          <cell r="M869">
            <v>27.37867000000001</v>
          </cell>
          <cell r="N869">
            <v>30.116537000000015</v>
          </cell>
        </row>
        <row r="870">
          <cell r="C870" t="str">
            <v>Transferts crédits (versés à l'extérieur)(assit+autre)</v>
          </cell>
          <cell r="F870">
            <v>-2</v>
          </cell>
          <cell r="G870">
            <v>2.1</v>
          </cell>
          <cell r="H870">
            <v>4</v>
          </cell>
          <cell r="I870">
            <v>4.04</v>
          </cell>
          <cell r="J870">
            <v>4.0804</v>
          </cell>
          <cell r="K870">
            <v>4.1212039999999996</v>
          </cell>
          <cell r="L870">
            <v>4.1624160399999992</v>
          </cell>
          <cell r="M870">
            <v>4.2040402003999988</v>
          </cell>
          <cell r="N870">
            <v>4.2460806024039988</v>
          </cell>
        </row>
        <row r="872">
          <cell r="A872" t="str">
            <v>Balance courante</v>
          </cell>
          <cell r="F872">
            <v>-75.364967798369108</v>
          </cell>
          <cell r="G872">
            <v>-76.779460679667721</v>
          </cell>
          <cell r="H872">
            <v>-77.214268907336873</v>
          </cell>
          <cell r="I872">
            <v>-116.5233243848752</v>
          </cell>
          <cell r="J872">
            <v>-143.21561213917641</v>
          </cell>
          <cell r="K872">
            <v>-184.44263994277111</v>
          </cell>
          <cell r="L872">
            <v>-238.00876088010821</v>
          </cell>
          <cell r="M872">
            <v>-308.89668685180652</v>
          </cell>
          <cell r="N872">
            <v>-406.27811404215799</v>
          </cell>
        </row>
        <row r="874">
          <cell r="A874" t="str">
            <v>Compte de capital</v>
          </cell>
          <cell r="F874">
            <v>53.1</v>
          </cell>
          <cell r="G874">
            <v>36.43</v>
          </cell>
          <cell r="H874">
            <v>46.4</v>
          </cell>
          <cell r="I874">
            <v>35.970000000000006</v>
          </cell>
          <cell r="J874">
            <v>39.567000000000007</v>
          </cell>
          <cell r="K874">
            <v>43.523700000000012</v>
          </cell>
          <cell r="L874">
            <v>47.87607000000002</v>
          </cell>
          <cell r="M874">
            <v>52.663677000000028</v>
          </cell>
          <cell r="N874">
            <v>57.930044700000039</v>
          </cell>
        </row>
        <row r="875">
          <cell r="B875" t="str">
            <v>Don projet ( Aide projet + Assistance technique)</v>
          </cell>
          <cell r="F875">
            <v>53.1</v>
          </cell>
          <cell r="G875">
            <v>36.43</v>
          </cell>
          <cell r="H875">
            <v>46.4</v>
          </cell>
          <cell r="I875">
            <v>35.970000000000006</v>
          </cell>
          <cell r="J875">
            <v>39.567000000000007</v>
          </cell>
          <cell r="K875">
            <v>43.523700000000012</v>
          </cell>
          <cell r="L875">
            <v>47.87607000000002</v>
          </cell>
          <cell r="M875">
            <v>52.663677000000028</v>
          </cell>
          <cell r="N875">
            <v>57.930044700000039</v>
          </cell>
        </row>
        <row r="876">
          <cell r="B876" t="str">
            <v>Remise de dettes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8">
          <cell r="A878" t="str">
            <v>Capitaux non monétaires</v>
          </cell>
          <cell r="F878">
            <v>95.1</v>
          </cell>
          <cell r="G878">
            <v>28.300000000000004</v>
          </cell>
          <cell r="H878">
            <v>56.599999999999994</v>
          </cell>
          <cell r="I878">
            <v>55.320184728447202</v>
          </cell>
          <cell r="J878">
            <v>56.038959319664045</v>
          </cell>
          <cell r="K878">
            <v>55.374369529910176</v>
          </cell>
          <cell r="L878">
            <v>55.492303662278722</v>
          </cell>
          <cell r="M878">
            <v>55.710084534820936</v>
          </cell>
          <cell r="N878">
            <v>25.885510163057283</v>
          </cell>
        </row>
        <row r="879">
          <cell r="B879" t="str">
            <v>Privés</v>
          </cell>
          <cell r="F879">
            <v>33.700000000000003</v>
          </cell>
          <cell r="G879">
            <v>12.299999999999999</v>
          </cell>
          <cell r="H879">
            <v>38.5</v>
          </cell>
          <cell r="I879">
            <v>38.408504326850405</v>
          </cell>
          <cell r="J879">
            <v>37.417746134131129</v>
          </cell>
          <cell r="K879">
            <v>36.4293432308028</v>
          </cell>
          <cell r="L879">
            <v>35.547277363171347</v>
          </cell>
          <cell r="M879">
            <v>34.76505823571356</v>
          </cell>
          <cell r="N879">
            <v>34.077006895194657</v>
          </cell>
        </row>
        <row r="880">
          <cell r="C880" t="str">
            <v>Moyen et long terme</v>
          </cell>
          <cell r="F880">
            <v>11</v>
          </cell>
          <cell r="G880">
            <v>10.7</v>
          </cell>
          <cell r="H880">
            <v>19.2</v>
          </cell>
          <cell r="I880">
            <v>19.154370988974744</v>
          </cell>
          <cell r="J880">
            <v>18.660278591566691</v>
          </cell>
          <cell r="K880">
            <v>18.167360780036717</v>
          </cell>
          <cell r="L880">
            <v>17.727473386308823</v>
          </cell>
          <cell r="M880">
            <v>17.337379691576629</v>
          </cell>
          <cell r="N880">
            <v>16.994247594486684</v>
          </cell>
        </row>
        <row r="881">
          <cell r="C881" t="str">
            <v>Courts terme + erreurs et omissions</v>
          </cell>
          <cell r="F881">
            <v>22.7</v>
          </cell>
          <cell r="G881">
            <v>1.6</v>
          </cell>
          <cell r="H881">
            <v>19.3</v>
          </cell>
          <cell r="I881">
            <v>19.254133337875658</v>
          </cell>
          <cell r="J881">
            <v>18.757467542564438</v>
          </cell>
          <cell r="K881">
            <v>18.26198245076608</v>
          </cell>
          <cell r="L881">
            <v>17.81980397686252</v>
          </cell>
          <cell r="M881">
            <v>17.427678544136931</v>
          </cell>
          <cell r="N881">
            <v>17.082759300707977</v>
          </cell>
        </row>
        <row r="882">
          <cell r="B882" t="str">
            <v>Publics</v>
          </cell>
          <cell r="F882">
            <v>61.4</v>
          </cell>
          <cell r="G882">
            <v>16.000000000000004</v>
          </cell>
          <cell r="H882">
            <v>18.099999999999998</v>
          </cell>
          <cell r="I882">
            <v>16.911680401596794</v>
          </cell>
          <cell r="J882">
            <v>18.62121318553292</v>
          </cell>
          <cell r="K882">
            <v>18.945026299107376</v>
          </cell>
          <cell r="L882">
            <v>19.945026299107376</v>
          </cell>
          <cell r="M882">
            <v>20.945026299107376</v>
          </cell>
          <cell r="N882">
            <v>-8.1914967321373737</v>
          </cell>
        </row>
        <row r="883">
          <cell r="C883" t="str">
            <v>Tirages TOFE</v>
          </cell>
          <cell r="F883">
            <v>61.4</v>
          </cell>
          <cell r="G883">
            <v>16.000000000000004</v>
          </cell>
          <cell r="H883">
            <v>18.099999999999998</v>
          </cell>
          <cell r="I883">
            <v>16.911680401596794</v>
          </cell>
          <cell r="J883">
            <v>18.62121318553292</v>
          </cell>
          <cell r="K883">
            <v>18.945026299107376</v>
          </cell>
          <cell r="L883">
            <v>19.945026299107376</v>
          </cell>
          <cell r="M883">
            <v>20.945026299107376</v>
          </cell>
          <cell r="N883">
            <v>-8.1914967321373737</v>
          </cell>
        </row>
        <row r="884">
          <cell r="D884" t="str">
            <v>Projets</v>
          </cell>
          <cell r="F884">
            <v>30.7</v>
          </cell>
          <cell r="G884">
            <v>27.5</v>
          </cell>
          <cell r="H884">
            <v>27.9</v>
          </cell>
          <cell r="I884">
            <v>25.65</v>
          </cell>
          <cell r="J884">
            <v>25.65</v>
          </cell>
          <cell r="K884">
            <v>25.65</v>
          </cell>
          <cell r="L884">
            <v>26.65</v>
          </cell>
          <cell r="M884">
            <v>27.65</v>
          </cell>
          <cell r="N884">
            <v>28.65</v>
          </cell>
        </row>
        <row r="885">
          <cell r="D885" t="str">
            <v>Programme</v>
          </cell>
          <cell r="F885">
            <v>30.7</v>
          </cell>
          <cell r="G885">
            <v>8.6999999999999993</v>
          </cell>
          <cell r="H885">
            <v>10.4</v>
          </cell>
          <cell r="I885">
            <v>19.700000000000003</v>
          </cell>
          <cell r="J885">
            <v>17.600000000000001</v>
          </cell>
          <cell r="K885">
            <v>17.600000000000001</v>
          </cell>
          <cell r="L885">
            <v>17.600000000000001</v>
          </cell>
          <cell r="M885">
            <v>17.600000000000001</v>
          </cell>
          <cell r="N885">
            <v>17.600000000000001</v>
          </cell>
        </row>
        <row r="886">
          <cell r="D886" t="str">
            <v>Amortissements</v>
          </cell>
          <cell r="F886">
            <v>0</v>
          </cell>
          <cell r="G886">
            <v>-20.2</v>
          </cell>
          <cell r="H886">
            <v>-20.2</v>
          </cell>
          <cell r="I886">
            <v>-28.438319598403208</v>
          </cell>
          <cell r="J886">
            <v>-24.62878681446708</v>
          </cell>
          <cell r="K886">
            <v>-24.304973700892624</v>
          </cell>
          <cell r="L886">
            <v>-24.304973700892624</v>
          </cell>
          <cell r="M886">
            <v>-24.304973700892624</v>
          </cell>
          <cell r="N886">
            <v>-54.441496732137374</v>
          </cell>
        </row>
        <row r="887">
          <cell r="C887" t="str">
            <v>Tirages non TOFE (finance exceptionnel)</v>
          </cell>
        </row>
        <row r="889">
          <cell r="A889" t="str">
            <v xml:space="preserve">Financement exceptionnel </v>
          </cell>
          <cell r="F889">
            <v>7.9</v>
          </cell>
          <cell r="G889">
            <v>6.5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1</v>
          </cell>
          <cell r="M889">
            <v>2</v>
          </cell>
          <cell r="N889">
            <v>3</v>
          </cell>
        </row>
        <row r="890">
          <cell r="B890" t="str">
            <v xml:space="preserve">Réaménagement de la dette </v>
          </cell>
          <cell r="F890">
            <v>0</v>
          </cell>
          <cell r="G890">
            <v>36.5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B891" t="str">
            <v>Variation des arriérés de paiement</v>
          </cell>
          <cell r="F891">
            <v>7.9</v>
          </cell>
          <cell r="G891">
            <v>-30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1</v>
          </cell>
          <cell r="M891">
            <v>2</v>
          </cell>
          <cell r="N891">
            <v>3</v>
          </cell>
        </row>
        <row r="893">
          <cell r="A893" t="str">
            <v>Allocation de DTS</v>
          </cell>
        </row>
        <row r="895">
          <cell r="A895" t="str">
            <v xml:space="preserve">Solde global </v>
          </cell>
          <cell r="F895">
            <v>80.735032201630901</v>
          </cell>
          <cell r="G895">
            <v>-5.5494606796677175</v>
          </cell>
          <cell r="H895">
            <v>25.78573109266312</v>
          </cell>
          <cell r="I895">
            <v>-25.233139656427987</v>
          </cell>
          <cell r="J895">
            <v>-47.609652819512362</v>
          </cell>
          <cell r="K895">
            <v>-85.544570412860907</v>
          </cell>
          <cell r="L895">
            <v>-133.64038721782947</v>
          </cell>
          <cell r="M895">
            <v>-198.52292531698555</v>
          </cell>
          <cell r="N895">
            <v>-319.46255917910065</v>
          </cell>
        </row>
        <row r="897">
          <cell r="A897" t="str">
            <v>Contrepartie de réévaluation</v>
          </cell>
        </row>
        <row r="899">
          <cell r="A899" t="str">
            <v>Variation des AEN</v>
          </cell>
          <cell r="F899">
            <v>-80.735032201630901</v>
          </cell>
          <cell r="G899">
            <v>5.5494606796677175</v>
          </cell>
          <cell r="H899">
            <v>-25.78573109266312</v>
          </cell>
          <cell r="I899">
            <v>25.233139656427987</v>
          </cell>
          <cell r="J899">
            <v>47.609652819512362</v>
          </cell>
          <cell r="K899">
            <v>85.544570412860907</v>
          </cell>
          <cell r="L899">
            <v>133.64038721782947</v>
          </cell>
          <cell r="M899">
            <v>198.52292531698555</v>
          </cell>
          <cell r="N899">
            <v>319.46255917910065</v>
          </cell>
        </row>
        <row r="901">
          <cell r="A901" t="str">
            <v>Module d'ajustement entre B.P. et Compt Nat (en année de base)</v>
          </cell>
        </row>
        <row r="903">
          <cell r="A903" t="str">
            <v>Total des Biens et services en exportation</v>
          </cell>
          <cell r="F903">
            <v>315.09999999999997</v>
          </cell>
          <cell r="G903">
            <v>317.09999999999997</v>
          </cell>
          <cell r="H903">
            <v>324.69999999999993</v>
          </cell>
          <cell r="I903">
            <v>353.12947976662002</v>
          </cell>
          <cell r="J903">
            <v>365.40378596982839</v>
          </cell>
          <cell r="K903">
            <v>382.59439477373002</v>
          </cell>
          <cell r="L903">
            <v>398.29564967135519</v>
          </cell>
          <cell r="M903">
            <v>414.93512336708403</v>
          </cell>
          <cell r="N903">
            <v>432.55172552835398</v>
          </cell>
        </row>
        <row r="904">
          <cell r="B904" t="str">
            <v>Différence entre BS expo B.P. et compte nationaux</v>
          </cell>
          <cell r="F904">
            <v>-22.05400000000003</v>
          </cell>
          <cell r="G904">
            <v>-50.670000000000016</v>
          </cell>
          <cell r="H904">
            <v>-79.470000000000084</v>
          </cell>
          <cell r="I904">
            <v>-86.428086717133752</v>
          </cell>
          <cell r="J904">
            <v>-89.432210874722202</v>
          </cell>
          <cell r="K904">
            <v>-93.639595172985423</v>
          </cell>
          <cell r="L904">
            <v>-97.48246159341744</v>
          </cell>
          <cell r="M904">
            <v>-101.55495612559967</v>
          </cell>
          <cell r="N904">
            <v>-105.86660187169184</v>
          </cell>
        </row>
        <row r="906">
          <cell r="A906" t="str">
            <v>Total des Biens et services en importation</v>
          </cell>
          <cell r="F906">
            <v>427.26496779836913</v>
          </cell>
          <cell r="G906">
            <v>433.0794606796677</v>
          </cell>
          <cell r="H906">
            <v>461.41426890733686</v>
          </cell>
          <cell r="I906">
            <v>511.20165945633096</v>
          </cell>
          <cell r="J906">
            <v>547.25912969453327</v>
          </cell>
          <cell r="K906">
            <v>604.07064207018493</v>
          </cell>
          <cell r="L906">
            <v>673.95026543361485</v>
          </cell>
          <cell r="M906">
            <v>760.98974156150689</v>
          </cell>
          <cell r="N906">
            <v>873.18844900895351</v>
          </cell>
        </row>
        <row r="907">
          <cell r="B907" t="str">
            <v>Différence entre BS import B.P. et compte nationaux</v>
          </cell>
          <cell r="F907">
            <v>-20.42503220163087</v>
          </cell>
          <cell r="G907">
            <v>-41.690539320332277</v>
          </cell>
          <cell r="H907">
            <v>-50.85573109266312</v>
          </cell>
          <cell r="I907">
            <v>-56.343151651981636</v>
          </cell>
          <cell r="J907">
            <v>-60.317300554351142</v>
          </cell>
          <cell r="K907">
            <v>-66.578899276006325</v>
          </cell>
          <cell r="L907">
            <v>-74.280826966805279</v>
          </cell>
          <cell r="M907">
            <v>-83.874063437121904</v>
          </cell>
          <cell r="N907">
            <v>-96.240276793297099</v>
          </cell>
        </row>
        <row r="1051">
          <cell r="A1051" t="str">
            <v>Décomposition sectorielle de la valeur ajoutée (Fcfa courants)</v>
          </cell>
          <cell r="E1051">
            <v>1996</v>
          </cell>
          <cell r="F1051">
            <v>1997</v>
          </cell>
          <cell r="G1051">
            <v>1998</v>
          </cell>
          <cell r="H1051">
            <v>1999</v>
          </cell>
          <cell r="I1051">
            <v>2000</v>
          </cell>
          <cell r="J1051">
            <v>2001</v>
          </cell>
          <cell r="K1051">
            <v>2002</v>
          </cell>
        </row>
        <row r="1052">
          <cell r="B1052" t="str">
            <v>VA Primaire (agriculture + élevage + pêche et forêt)</v>
          </cell>
          <cell r="F1052">
            <v>541.1</v>
          </cell>
          <cell r="G1052">
            <v>624.95909344120969</v>
          </cell>
          <cell r="H1052">
            <v>653.75344947328631</v>
          </cell>
          <cell r="I1052">
            <v>666.4207508632868</v>
          </cell>
          <cell r="J1052">
            <v>715.98826336123057</v>
          </cell>
          <cell r="K1052">
            <v>753.95174528243024</v>
          </cell>
        </row>
        <row r="1053">
          <cell r="B1053" t="str">
            <v>VA Eau+Elextricité</v>
          </cell>
          <cell r="F1053">
            <v>9.6</v>
          </cell>
          <cell r="G1053">
            <v>8.9540829663014456</v>
          </cell>
          <cell r="H1053">
            <v>11.49320980312627</v>
          </cell>
          <cell r="I1053">
            <v>12.209833273101772</v>
          </cell>
          <cell r="J1053">
            <v>13.478021168135378</v>
          </cell>
          <cell r="K1053">
            <v>14.376614378052018</v>
          </cell>
        </row>
        <row r="1054">
          <cell r="B1054" t="str">
            <v>VA Réexport</v>
          </cell>
          <cell r="F1054">
            <v>21.77318890071453</v>
          </cell>
          <cell r="G1054">
            <v>27.699999999999989</v>
          </cell>
          <cell r="H1054">
            <v>29.900000000000006</v>
          </cell>
          <cell r="I1054">
            <v>28.013520902621394</v>
          </cell>
          <cell r="J1054">
            <v>31.150382175557667</v>
          </cell>
          <cell r="K1054">
            <v>32.707901284335563</v>
          </cell>
        </row>
        <row r="1055">
          <cell r="B1055" t="str">
            <v>VA Administration publique</v>
          </cell>
          <cell r="F1055">
            <v>82.336470588235301</v>
          </cell>
          <cell r="G1055">
            <v>83.949786238886745</v>
          </cell>
          <cell r="H1055">
            <v>85.844381654368689</v>
          </cell>
          <cell r="I1055">
            <v>93.20796340039621</v>
          </cell>
          <cell r="J1055">
            <v>93.163186343457056</v>
          </cell>
          <cell r="K1055">
            <v>93.168179566165847</v>
          </cell>
        </row>
        <row r="1056">
          <cell r="B1056" t="str">
            <v>VA transf. Produit pour export.</v>
          </cell>
          <cell r="F1056">
            <v>189.91257142857143</v>
          </cell>
          <cell r="G1056">
            <v>203.95180914598876</v>
          </cell>
          <cell r="H1056">
            <v>227.25985420818733</v>
          </cell>
          <cell r="I1056">
            <v>266.31481606485715</v>
          </cell>
          <cell r="J1056">
            <v>273.34439952388527</v>
          </cell>
          <cell r="K1056">
            <v>285.55064672831639</v>
          </cell>
        </row>
        <row r="1057">
          <cell r="B1057" t="str">
            <v>VA Secteur de demande de biens de conso. Non alimentaires</v>
          </cell>
          <cell r="F1057">
            <v>178.56202625175874</v>
          </cell>
          <cell r="G1057">
            <v>172.2267354203475</v>
          </cell>
          <cell r="H1057">
            <v>193.48804954555337</v>
          </cell>
          <cell r="I1057">
            <v>216.8099624803985</v>
          </cell>
          <cell r="J1057">
            <v>246.27782429743041</v>
          </cell>
          <cell r="K1057">
            <v>268.95579162793103</v>
          </cell>
        </row>
        <row r="1058">
          <cell r="B1058" t="str">
            <v>VA secteur de demande de C intermédiaires</v>
          </cell>
          <cell r="F1058">
            <v>175.12793700716034</v>
          </cell>
          <cell r="G1058">
            <v>177.26949706538187</v>
          </cell>
          <cell r="H1058">
            <v>205.99360657497144</v>
          </cell>
          <cell r="I1058">
            <v>229.85609601064462</v>
          </cell>
          <cell r="J1058">
            <v>265.50198853371694</v>
          </cell>
          <cell r="K1058">
            <v>302.40811970872579</v>
          </cell>
        </row>
        <row r="1059">
          <cell r="B1059" t="str">
            <v>VA Secteur lié à la demande d'investissement</v>
          </cell>
          <cell r="F1059">
            <v>54.080200000000005</v>
          </cell>
          <cell r="G1059">
            <v>62.105151169509554</v>
          </cell>
          <cell r="H1059">
            <v>69.257683954367081</v>
          </cell>
          <cell r="I1059">
            <v>80.314185262579372</v>
          </cell>
          <cell r="J1059">
            <v>102.26775455867789</v>
          </cell>
          <cell r="K1059">
            <v>124.43766683415382</v>
          </cell>
        </row>
        <row r="1061">
          <cell r="B1061" t="str">
            <v>TOTAL</v>
          </cell>
          <cell r="F1061">
            <v>1252.4923941764405</v>
          </cell>
          <cell r="G1061">
            <v>1361.1161554476257</v>
          </cell>
          <cell r="H1061">
            <v>1476.9902352138606</v>
          </cell>
          <cell r="I1061">
            <v>1593.1471282578859</v>
          </cell>
          <cell r="J1061">
            <v>1741.1718199620914</v>
          </cell>
          <cell r="K1061">
            <v>1875.5566654101108</v>
          </cell>
        </row>
        <row r="1062">
          <cell r="C1062" t="str">
            <v>Vérif</v>
          </cell>
          <cell r="F1062">
            <v>2.752394176440248</v>
          </cell>
          <cell r="G1062">
            <v>-0.15114455237426228</v>
          </cell>
          <cell r="H1062">
            <v>2.0502352138605602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Décomposition sectorielle de la valeur ajoutée (Fcfa constants 1997)</v>
          </cell>
          <cell r="E1063">
            <v>1996</v>
          </cell>
          <cell r="F1063">
            <v>1997</v>
          </cell>
          <cell r="G1063">
            <v>1998</v>
          </cell>
          <cell r="H1063">
            <v>1999</v>
          </cell>
          <cell r="I1063">
            <v>2000</v>
          </cell>
          <cell r="J1063">
            <v>2001</v>
          </cell>
          <cell r="K1063">
            <v>2002</v>
          </cell>
        </row>
        <row r="1064">
          <cell r="B1064" t="str">
            <v>VA Primaire</v>
          </cell>
          <cell r="F1064">
            <v>541.1</v>
          </cell>
          <cell r="G1064">
            <v>552.75317233913051</v>
          </cell>
          <cell r="H1064">
            <v>582.26075367595615</v>
          </cell>
          <cell r="I1064">
            <v>604.75824861740466</v>
          </cell>
          <cell r="J1064">
            <v>629.97006057750264</v>
          </cell>
          <cell r="K1064">
            <v>658.11880864585407</v>
          </cell>
        </row>
        <row r="1065">
          <cell r="B1065" t="str">
            <v>VA Eau+Gaz+Electricité</v>
          </cell>
          <cell r="F1065">
            <v>9.6</v>
          </cell>
          <cell r="G1065">
            <v>9.6964373682420941</v>
          </cell>
          <cell r="H1065">
            <v>11.39713138898334</v>
          </cell>
          <cell r="I1065">
            <v>11.966987958432508</v>
          </cell>
          <cell r="J1065">
            <v>12.565337356354135</v>
          </cell>
          <cell r="K1065">
            <v>13.193604224171843</v>
          </cell>
        </row>
        <row r="1066">
          <cell r="B1066" t="str">
            <v>VA Réexport</v>
          </cell>
          <cell r="F1066">
            <v>21.77318890071453</v>
          </cell>
          <cell r="G1066">
            <v>27.881106305199992</v>
          </cell>
          <cell r="H1066">
            <v>27.179639376023044</v>
          </cell>
          <cell r="I1066">
            <v>23.945660401412244</v>
          </cell>
          <cell r="J1066">
            <v>27.739636748819848</v>
          </cell>
          <cell r="K1066">
            <v>28.420689841451765</v>
          </cell>
        </row>
        <row r="1067">
          <cell r="B1067" t="str">
            <v>VA transf. Produit pour export.</v>
          </cell>
          <cell r="F1067">
            <v>189.91257142857143</v>
          </cell>
          <cell r="G1067">
            <v>224.01926542719696</v>
          </cell>
          <cell r="H1067">
            <v>221.95141179230569</v>
          </cell>
          <cell r="I1067">
            <v>242.41219744441034</v>
          </cell>
          <cell r="J1067">
            <v>252.27751964700352</v>
          </cell>
          <cell r="K1067">
            <v>262.74783441528359</v>
          </cell>
        </row>
        <row r="1068">
          <cell r="B1068" t="str">
            <v>VA Administration publique</v>
          </cell>
          <cell r="F1068">
            <v>82.336470588235301</v>
          </cell>
          <cell r="G1068">
            <v>80.014470733495642</v>
          </cell>
          <cell r="H1068">
            <v>79.417078676166867</v>
          </cell>
          <cell r="I1068">
            <v>78.892349086887677</v>
          </cell>
          <cell r="J1068">
            <v>78.85444924358832</v>
          </cell>
          <cell r="K1068">
            <v>78.858675567763186</v>
          </cell>
        </row>
        <row r="1069">
          <cell r="B1069" t="str">
            <v>VA Secteur lié à la consommation finale privée</v>
          </cell>
          <cell r="F1069">
            <v>178.56202625175874</v>
          </cell>
          <cell r="G1069">
            <v>156.8014769270587</v>
          </cell>
          <cell r="H1069">
            <v>184.47808550628179</v>
          </cell>
          <cell r="I1069">
            <v>194.64780381090915</v>
          </cell>
          <cell r="J1069">
            <v>213.25217445611122</v>
          </cell>
          <cell r="K1069">
            <v>229.24753805975303</v>
          </cell>
        </row>
        <row r="1070">
          <cell r="B1070" t="str">
            <v>VA secteur lié aux Cintermédiaires</v>
          </cell>
          <cell r="F1070">
            <v>175.12793700716034</v>
          </cell>
          <cell r="G1070">
            <v>174.56864734219525</v>
          </cell>
          <cell r="H1070">
            <v>187.49820585650286</v>
          </cell>
          <cell r="I1070">
            <v>202.70696325573917</v>
          </cell>
          <cell r="J1070">
            <v>229.36632299461502</v>
          </cell>
          <cell r="K1070">
            <v>257.01092493932737</v>
          </cell>
        </row>
        <row r="1071">
          <cell r="B1071" t="str">
            <v>VA Secteur lié à la demande d'investissement</v>
          </cell>
          <cell r="F1071">
            <v>54.080200000000005</v>
          </cell>
          <cell r="G1071">
            <v>59.236989061373919</v>
          </cell>
          <cell r="H1071">
            <v>61.312013732384514</v>
          </cell>
          <cell r="I1071">
            <v>70.364089564194046</v>
          </cell>
          <cell r="J1071">
            <v>85.078618965339842</v>
          </cell>
          <cell r="K1071">
            <v>101.91054250833446</v>
          </cell>
        </row>
        <row r="1073">
          <cell r="B1073" t="str">
            <v>TOTAL</v>
          </cell>
          <cell r="F1073">
            <v>1252.4923941764407</v>
          </cell>
          <cell r="G1073">
            <v>1284.9715655038929</v>
          </cell>
          <cell r="H1073">
            <v>1355.4943200046041</v>
          </cell>
          <cell r="I1073">
            <v>1429.6943001393897</v>
          </cell>
          <cell r="J1073">
            <v>1529.1041199893348</v>
          </cell>
          <cell r="K1073">
            <v>1629.5086182019393</v>
          </cell>
        </row>
        <row r="1074">
          <cell r="B1074" t="str">
            <v>Taux de croissance</v>
          </cell>
          <cell r="G1074">
            <v>2.5931631583925308E-2</v>
          </cell>
          <cell r="H1074">
            <v>5.4882735458084753E-2</v>
          </cell>
          <cell r="I1074">
            <v>5.4740163082744209E-2</v>
          </cell>
          <cell r="J1074">
            <v>6.9532220867253303E-2</v>
          </cell>
          <cell r="K1074">
            <v>6.5662303109421227E-2</v>
          </cell>
        </row>
        <row r="1075">
          <cell r="B1075" t="str">
            <v>vérif</v>
          </cell>
          <cell r="F1075">
            <v>2.7523941764404753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</sheetData>
      <sheetData sheetId="5">
        <row r="48">
          <cell r="D48">
            <v>4705806.3089558622</v>
          </cell>
        </row>
      </sheetData>
      <sheetData sheetId="6">
        <row r="48">
          <cell r="D48">
            <v>4705806.3089558622</v>
          </cell>
          <cell r="E48">
            <v>4340941.7634533569</v>
          </cell>
          <cell r="F48">
            <v>3844137.8551025218</v>
          </cell>
          <cell r="G48">
            <v>3509186.9647486359</v>
          </cell>
          <cell r="H48">
            <v>3446537.7479086006</v>
          </cell>
          <cell r="I48">
            <v>3437162.9639086006</v>
          </cell>
          <cell r="J48">
            <v>3560480.7863356005</v>
          </cell>
          <cell r="K48">
            <v>3542403.1097903927</v>
          </cell>
          <cell r="L48">
            <v>3513124.4916536743</v>
          </cell>
          <cell r="M48">
            <v>3903889.9881826392</v>
          </cell>
          <cell r="N48">
            <v>4285471.2163100243</v>
          </cell>
          <cell r="O48">
            <v>4776276.5107750911</v>
          </cell>
          <cell r="P48">
            <v>5841970.6125789471</v>
          </cell>
          <cell r="Q48">
            <v>7272200.5412801681</v>
          </cell>
          <cell r="R48">
            <v>9076993.0097076632</v>
          </cell>
          <cell r="S48">
            <v>11426251.612919575</v>
          </cell>
          <cell r="T48">
            <v>14495552.887499874</v>
          </cell>
          <cell r="U48">
            <v>18291715.371724527</v>
          </cell>
        </row>
        <row r="49">
          <cell r="D49">
            <v>1957070.7</v>
          </cell>
          <cell r="E49">
            <v>2113854.5999999996</v>
          </cell>
          <cell r="F49">
            <v>2081210.1000000003</v>
          </cell>
          <cell r="G49">
            <v>2311500.7000000002</v>
          </cell>
          <cell r="H49">
            <v>2294668.6</v>
          </cell>
          <cell r="I49">
            <v>2448047</v>
          </cell>
          <cell r="J49">
            <v>2737955.6</v>
          </cell>
          <cell r="K49">
            <v>2781219.6</v>
          </cell>
          <cell r="L49">
            <v>2928059.8</v>
          </cell>
          <cell r="M49">
            <v>3521649.3</v>
          </cell>
          <cell r="N49">
            <v>3686896.4</v>
          </cell>
          <cell r="O49">
            <v>3952265.2999999993</v>
          </cell>
          <cell r="P49">
            <v>4660422.5999999996</v>
          </cell>
          <cell r="Q49">
            <v>5252733.125918</v>
          </cell>
          <cell r="R49">
            <v>5822293.0471974872</v>
          </cell>
          <cell r="S49">
            <v>6559058.3484942466</v>
          </cell>
          <cell r="T49">
            <v>7502921.2529055141</v>
          </cell>
          <cell r="U49">
            <v>8491626.912506273</v>
          </cell>
        </row>
        <row r="50">
          <cell r="D50">
            <v>452039.3</v>
          </cell>
          <cell r="E50">
            <v>459890.9</v>
          </cell>
          <cell r="F50">
            <v>442178.9</v>
          </cell>
          <cell r="G50">
            <v>477911.10000000003</v>
          </cell>
          <cell r="H50">
            <v>496133.30000000005</v>
          </cell>
          <cell r="I50">
            <v>508892</v>
          </cell>
          <cell r="J50">
            <v>599433.30000000005</v>
          </cell>
          <cell r="K50">
            <v>554501.1</v>
          </cell>
          <cell r="L50">
            <v>576819.5</v>
          </cell>
          <cell r="M50">
            <v>706585</v>
          </cell>
          <cell r="N50">
            <v>698580</v>
          </cell>
          <cell r="O50">
            <v>783762.3</v>
          </cell>
          <cell r="P50">
            <v>806254.10000000009</v>
          </cell>
          <cell r="Q50">
            <v>877756.66945700708</v>
          </cell>
          <cell r="R50">
            <v>929601.60722378152</v>
          </cell>
          <cell r="S50">
            <v>1000336.4187056335</v>
          </cell>
          <cell r="T50">
            <v>1070508.5480054379</v>
          </cell>
          <cell r="U50">
            <v>1153625.7895943951</v>
          </cell>
        </row>
        <row r="51">
          <cell r="D51">
            <v>338792</v>
          </cell>
          <cell r="E51">
            <v>339233.60000000003</v>
          </cell>
          <cell r="F51">
            <v>327995.2</v>
          </cell>
          <cell r="G51">
            <v>344803.2</v>
          </cell>
          <cell r="H51">
            <v>367636.80000000005</v>
          </cell>
          <cell r="I51">
            <v>386720</v>
          </cell>
          <cell r="J51">
            <v>474048.80000000005</v>
          </cell>
          <cell r="K51">
            <v>418380</v>
          </cell>
          <cell r="L51">
            <v>444604</v>
          </cell>
          <cell r="M51">
            <v>560836.80000000005</v>
          </cell>
          <cell r="N51">
            <v>529760</v>
          </cell>
          <cell r="O51">
            <v>626379.20000000007</v>
          </cell>
          <cell r="P51">
            <v>608403.20000000007</v>
          </cell>
          <cell r="Q51">
            <v>657993.27868335461</v>
          </cell>
          <cell r="R51">
            <v>684800.03927696077</v>
          </cell>
          <cell r="S51">
            <v>730188.40090701089</v>
          </cell>
          <cell r="T51">
            <v>758724.88833119383</v>
          </cell>
          <cell r="U51">
            <v>801784.2864191042</v>
          </cell>
        </row>
        <row r="52">
          <cell r="D52">
            <v>87655.5</v>
          </cell>
          <cell r="E52">
            <v>95746.5</v>
          </cell>
          <cell r="F52">
            <v>89123.400000000009</v>
          </cell>
          <cell r="G52">
            <v>103549.5</v>
          </cell>
          <cell r="H52">
            <v>99226.8</v>
          </cell>
          <cell r="I52">
            <v>95083.199999999997</v>
          </cell>
          <cell r="J52">
            <v>105060.6</v>
          </cell>
          <cell r="K52">
            <v>105436.8</v>
          </cell>
          <cell r="L52">
            <v>99233.1</v>
          </cell>
          <cell r="M52">
            <v>108155.7</v>
          </cell>
          <cell r="N52">
            <v>124560</v>
          </cell>
          <cell r="O52">
            <v>113796</v>
          </cell>
          <cell r="P52">
            <v>139265.1</v>
          </cell>
          <cell r="Q52">
            <v>151578.59139343179</v>
          </cell>
          <cell r="R52">
            <v>164927.74844123019</v>
          </cell>
          <cell r="S52">
            <v>176918.20025934104</v>
          </cell>
          <cell r="T52">
            <v>197553.11946270367</v>
          </cell>
          <cell r="U52">
            <v>215597.78311980507</v>
          </cell>
        </row>
        <row r="53">
          <cell r="D53">
            <v>20737.8</v>
          </cell>
          <cell r="E53">
            <v>20422.8</v>
          </cell>
          <cell r="F53">
            <v>19590.3</v>
          </cell>
          <cell r="G53">
            <v>24327.9</v>
          </cell>
          <cell r="H53">
            <v>23537.7</v>
          </cell>
          <cell r="I53">
            <v>21183.3</v>
          </cell>
          <cell r="J53">
            <v>13352.4</v>
          </cell>
          <cell r="K53">
            <v>22411.8</v>
          </cell>
          <cell r="L53">
            <v>21852.9</v>
          </cell>
          <cell r="M53">
            <v>24147</v>
          </cell>
          <cell r="N53">
            <v>26460</v>
          </cell>
          <cell r="O53">
            <v>26567.100000000002</v>
          </cell>
          <cell r="P53">
            <v>32361.3</v>
          </cell>
          <cell r="Q53">
            <v>35694.395617106311</v>
          </cell>
          <cell r="R53">
            <v>39363.162877387957</v>
          </cell>
          <cell r="S53">
            <v>43472.540834615036</v>
          </cell>
          <cell r="T53">
            <v>49168.022595858187</v>
          </cell>
          <cell r="U53">
            <v>54587.969250884249</v>
          </cell>
        </row>
        <row r="54">
          <cell r="D54">
            <v>4854</v>
          </cell>
          <cell r="E54">
            <v>4488</v>
          </cell>
          <cell r="F54">
            <v>5470</v>
          </cell>
          <cell r="G54">
            <v>5230.5</v>
          </cell>
          <cell r="H54">
            <v>5732</v>
          </cell>
          <cell r="I54">
            <v>5905.5</v>
          </cell>
          <cell r="J54">
            <v>6971.5</v>
          </cell>
          <cell r="K54">
            <v>8272.5</v>
          </cell>
          <cell r="L54">
            <v>11129.5</v>
          </cell>
          <cell r="M54">
            <v>13445.5</v>
          </cell>
          <cell r="N54">
            <v>17800</v>
          </cell>
          <cell r="O54">
            <v>17020</v>
          </cell>
          <cell r="P54">
            <v>26224.5</v>
          </cell>
          <cell r="Q54">
            <v>32490.403763114304</v>
          </cell>
          <cell r="R54">
            <v>40510.656628202611</v>
          </cell>
          <cell r="S54">
            <v>49757.276704666605</v>
          </cell>
          <cell r="T54">
            <v>65062.517615682111</v>
          </cell>
          <cell r="U54">
            <v>81655.750804601586</v>
          </cell>
        </row>
        <row r="55">
          <cell r="D55">
            <v>1474160</v>
          </cell>
          <cell r="E55">
            <v>1619832.4</v>
          </cell>
          <cell r="F55">
            <v>1605483.0000000002</v>
          </cell>
          <cell r="G55">
            <v>1794975.5</v>
          </cell>
          <cell r="H55">
            <v>1754977.8</v>
          </cell>
          <cell r="I55">
            <v>1898405.9</v>
          </cell>
          <cell r="J55">
            <v>2092810.2</v>
          </cell>
          <cell r="K55">
            <v>2182674.5</v>
          </cell>
          <cell r="L55">
            <v>2308560.5999999996</v>
          </cell>
          <cell r="M55">
            <v>2763440</v>
          </cell>
          <cell r="N55">
            <v>2935500</v>
          </cell>
          <cell r="O55">
            <v>3116537.0999999996</v>
          </cell>
          <cell r="P55">
            <v>3794291.9</v>
          </cell>
          <cell r="Q55">
            <v>4315211.3422633708</v>
          </cell>
          <cell r="R55">
            <v>4830697.7545165066</v>
          </cell>
          <cell r="S55">
            <v>5494194.8338050423</v>
          </cell>
          <cell r="T55">
            <v>6364296.8773885975</v>
          </cell>
          <cell r="U55">
            <v>7266427.5095077651</v>
          </cell>
        </row>
        <row r="56">
          <cell r="D56">
            <v>645474.19999999995</v>
          </cell>
          <cell r="E56">
            <v>706936.29999999993</v>
          </cell>
          <cell r="F56">
            <v>732280.5</v>
          </cell>
          <cell r="G56">
            <v>824278.7</v>
          </cell>
          <cell r="H56">
            <v>787401.29999999993</v>
          </cell>
          <cell r="I56">
            <v>829562.29999999993</v>
          </cell>
          <cell r="J56">
            <v>890238.29999999993</v>
          </cell>
          <cell r="K56">
            <v>890420.29999999993</v>
          </cell>
          <cell r="L56">
            <v>942248.99999999988</v>
          </cell>
          <cell r="M56">
            <v>985373.89999999991</v>
          </cell>
          <cell r="N56">
            <v>1108590</v>
          </cell>
          <cell r="O56">
            <v>1152906.2999999998</v>
          </cell>
          <cell r="P56">
            <v>1252286</v>
          </cell>
          <cell r="Q56">
            <v>1344575.0998396864</v>
          </cell>
          <cell r="R56">
            <v>1453211.8890011418</v>
          </cell>
          <cell r="S56">
            <v>1554957.1964288678</v>
          </cell>
          <cell r="T56">
            <v>1675712.6385035275</v>
          </cell>
          <cell r="U56">
            <v>1802285.3401220564</v>
          </cell>
        </row>
        <row r="57">
          <cell r="D57">
            <v>791712.9</v>
          </cell>
          <cell r="E57">
            <v>879123.6</v>
          </cell>
          <cell r="F57">
            <v>843581.70000000007</v>
          </cell>
          <cell r="G57">
            <v>941803.20000000007</v>
          </cell>
          <cell r="H57">
            <v>936757.8</v>
          </cell>
          <cell r="I57">
            <v>1031970.6</v>
          </cell>
          <cell r="J57">
            <v>1160256.6000000001</v>
          </cell>
          <cell r="K57">
            <v>1249347.6000000001</v>
          </cell>
          <cell r="L57">
            <v>1310947.2</v>
          </cell>
          <cell r="M57">
            <v>1726592.4000000001</v>
          </cell>
          <cell r="N57">
            <v>1790100</v>
          </cell>
          <cell r="O57">
            <v>1901668.5</v>
          </cell>
          <cell r="P57">
            <v>2469033</v>
          </cell>
          <cell r="Q57">
            <v>2892445.9843757316</v>
          </cell>
          <cell r="R57">
            <v>3290681.4033936276</v>
          </cell>
          <cell r="S57">
            <v>3831668.8906878987</v>
          </cell>
          <cell r="T57">
            <v>4565110.1718908725</v>
          </cell>
          <cell r="U57">
            <v>5323317.3217456853</v>
          </cell>
        </row>
        <row r="58">
          <cell r="D58">
            <v>36972.9</v>
          </cell>
          <cell r="E58">
            <v>33772.5</v>
          </cell>
          <cell r="F58">
            <v>29620.799999999999</v>
          </cell>
          <cell r="G58">
            <v>28893.600000000002</v>
          </cell>
          <cell r="H58">
            <v>30818.7</v>
          </cell>
          <cell r="I58">
            <v>36873</v>
          </cell>
          <cell r="J58">
            <v>42315.3</v>
          </cell>
          <cell r="K58">
            <v>42906.6</v>
          </cell>
          <cell r="L58">
            <v>55364.4</v>
          </cell>
          <cell r="M58">
            <v>51473.700000000004</v>
          </cell>
          <cell r="N58">
            <v>36810</v>
          </cell>
          <cell r="O58">
            <v>61962.3</v>
          </cell>
          <cell r="P58">
            <v>72972.900000000009</v>
          </cell>
          <cell r="Q58">
            <v>78190.258047953466</v>
          </cell>
          <cell r="R58">
            <v>86804.462121737059</v>
          </cell>
          <cell r="S58">
            <v>107568.74668827542</v>
          </cell>
          <cell r="T58">
            <v>123474.06699419809</v>
          </cell>
          <cell r="U58">
            <v>140824.84764002348</v>
          </cell>
        </row>
        <row r="59">
          <cell r="D59">
            <v>30871.399999999998</v>
          </cell>
          <cell r="E59">
            <v>34131.299999999996</v>
          </cell>
          <cell r="F59">
            <v>33548.199999999997</v>
          </cell>
          <cell r="G59">
            <v>38614.1</v>
          </cell>
          <cell r="H59">
            <v>43557.5</v>
          </cell>
          <cell r="I59">
            <v>40749.1</v>
          </cell>
          <cell r="J59">
            <v>45712.1</v>
          </cell>
          <cell r="K59">
            <v>44044</v>
          </cell>
          <cell r="L59">
            <v>42679.7</v>
          </cell>
          <cell r="M59">
            <v>51624.299999999996</v>
          </cell>
          <cell r="N59">
            <v>52816.399999999994</v>
          </cell>
          <cell r="O59">
            <v>51965.899999999994</v>
          </cell>
          <cell r="P59">
            <v>59876.6</v>
          </cell>
          <cell r="Q59">
            <v>59765.114197622352</v>
          </cell>
          <cell r="R59">
            <v>61993.685457198852</v>
          </cell>
          <cell r="S59">
            <v>64527.095983570762</v>
          </cell>
          <cell r="T59">
            <v>68115.827511478434</v>
          </cell>
          <cell r="U59">
            <v>71573.613404112606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405713.43900000001</v>
          </cell>
          <cell r="I60">
            <v>335811.587</v>
          </cell>
          <cell r="J60">
            <v>284593.01199999999</v>
          </cell>
          <cell r="K60">
            <v>225332.88200000001</v>
          </cell>
          <cell r="L60">
            <v>161114.11499999999</v>
          </cell>
          <cell r="M60">
            <v>123276.443</v>
          </cell>
          <cell r="N60">
            <v>122869.23999999999</v>
          </cell>
          <cell r="O60">
            <v>115609.192</v>
          </cell>
          <cell r="P60">
            <v>127191.79438385526</v>
          </cell>
          <cell r="Q60">
            <v>116435.41536216767</v>
          </cell>
          <cell r="R60">
            <v>107296.53885156667</v>
          </cell>
          <cell r="S60">
            <v>100846.68323870897</v>
          </cell>
          <cell r="T60">
            <v>93206.765466984914</v>
          </cell>
          <cell r="U60">
            <v>89032.282473624407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290797.98300000001</v>
          </cell>
          <cell r="I61">
            <v>306641.902</v>
          </cell>
          <cell r="J61">
            <v>249287.83000000002</v>
          </cell>
          <cell r="K61">
            <v>184105.75100000002</v>
          </cell>
          <cell r="L61">
            <v>142676.65</v>
          </cell>
          <cell r="M61">
            <v>95453.33600000001</v>
          </cell>
          <cell r="N61">
            <v>85371.466</v>
          </cell>
          <cell r="O61">
            <v>72822.596999999994</v>
          </cell>
          <cell r="P61">
            <v>83827.79438385526</v>
          </cell>
          <cell r="Q61">
            <v>70983.95909880189</v>
          </cell>
          <cell r="R61">
            <v>59701.492660363983</v>
          </cell>
          <cell r="S61">
            <v>50986.993778939141</v>
          </cell>
          <cell r="T61">
            <v>40963.019460900396</v>
          </cell>
          <cell r="U61">
            <v>34284.169517760078</v>
          </cell>
        </row>
        <row r="62">
          <cell r="H62">
            <v>322.25200000000001</v>
          </cell>
          <cell r="I62">
            <v>11087.057000000001</v>
          </cell>
          <cell r="J62">
            <v>3820.3330000000001</v>
          </cell>
          <cell r="K62">
            <v>1499.521</v>
          </cell>
          <cell r="L62">
            <v>558.51400000000001</v>
          </cell>
          <cell r="M62">
            <v>4488.9409999999998</v>
          </cell>
          <cell r="N62">
            <v>2340.69</v>
          </cell>
          <cell r="O62">
            <v>493.06400000000002</v>
          </cell>
          <cell r="P62">
            <v>532.79438385526396</v>
          </cell>
          <cell r="Q62">
            <v>516.35470351190554</v>
          </cell>
          <cell r="R62">
            <v>519.54093099871909</v>
          </cell>
          <cell r="S62">
            <v>510.43028198660596</v>
          </cell>
          <cell r="T62">
            <v>514.72086237959354</v>
          </cell>
          <cell r="U62">
            <v>510.42672626720457</v>
          </cell>
        </row>
        <row r="63">
          <cell r="H63">
            <v>290475.73100000003</v>
          </cell>
          <cell r="I63">
            <v>295554.84499999997</v>
          </cell>
          <cell r="J63">
            <v>245467.497</v>
          </cell>
          <cell r="K63">
            <v>182606.23</v>
          </cell>
          <cell r="L63">
            <v>142118.136</v>
          </cell>
          <cell r="M63">
            <v>90964.395000000004</v>
          </cell>
          <cell r="N63">
            <v>83030.775999999998</v>
          </cell>
          <cell r="O63">
            <v>72329.532999999996</v>
          </cell>
          <cell r="P63">
            <v>83295</v>
          </cell>
          <cell r="Q63">
            <v>70467.604395289978</v>
          </cell>
          <cell r="R63">
            <v>59181.951729365261</v>
          </cell>
          <cell r="S63">
            <v>50476.563496952534</v>
          </cell>
          <cell r="T63">
            <v>40448.2985985208</v>
          </cell>
          <cell r="U63">
            <v>33773.74279149287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114915.45600000001</v>
          </cell>
          <cell r="I64">
            <v>29169.685000000001</v>
          </cell>
          <cell r="J64">
            <v>35305.182000000001</v>
          </cell>
          <cell r="K64">
            <v>41227.130999999994</v>
          </cell>
          <cell r="L64">
            <v>18437.465</v>
          </cell>
          <cell r="M64">
            <v>27823.106999999996</v>
          </cell>
          <cell r="N64">
            <v>37497.773999999998</v>
          </cell>
          <cell r="O64">
            <v>42786.595000000001</v>
          </cell>
          <cell r="P64">
            <v>43364</v>
          </cell>
          <cell r="Q64">
            <v>45451.456263365777</v>
          </cell>
          <cell r="R64">
            <v>47595.04619120268</v>
          </cell>
          <cell r="S64">
            <v>49859.689459769826</v>
          </cell>
          <cell r="T64">
            <v>52243.746006084519</v>
          </cell>
          <cell r="U64">
            <v>54748.11295586433</v>
          </cell>
        </row>
        <row r="65">
          <cell r="H65">
            <v>74847.263999999996</v>
          </cell>
          <cell r="I65">
            <v>6300</v>
          </cell>
          <cell r="J65">
            <v>18117.310000000001</v>
          </cell>
          <cell r="K65">
            <v>21767.599999999999</v>
          </cell>
          <cell r="L65">
            <v>4977.8370000000004</v>
          </cell>
          <cell r="M65">
            <v>9956.33</v>
          </cell>
          <cell r="N65">
            <v>12102.47</v>
          </cell>
          <cell r="O65">
            <v>13321.069</v>
          </cell>
          <cell r="P65">
            <v>17858</v>
          </cell>
          <cell r="Q65">
            <v>18717.648416916938</v>
          </cell>
          <cell r="R65">
            <v>19600.413589209886</v>
          </cell>
          <cell r="S65">
            <v>20533.030494709197</v>
          </cell>
          <cell r="T65">
            <v>21514.82372882247</v>
          </cell>
          <cell r="U65">
            <v>22546.162742501278</v>
          </cell>
        </row>
        <row r="66">
          <cell r="H66">
            <v>40068.192000000003</v>
          </cell>
          <cell r="I66">
            <v>22869.685000000001</v>
          </cell>
          <cell r="J66">
            <v>17187.871999999999</v>
          </cell>
          <cell r="K66">
            <v>19459.530999999999</v>
          </cell>
          <cell r="L66">
            <v>13459.628000000001</v>
          </cell>
          <cell r="M66">
            <v>17866.776999999998</v>
          </cell>
          <cell r="N66">
            <v>25395.304</v>
          </cell>
          <cell r="O66">
            <v>29465.526000000002</v>
          </cell>
          <cell r="P66">
            <v>25506</v>
          </cell>
          <cell r="Q66">
            <v>26733.807846448839</v>
          </cell>
          <cell r="R66">
            <v>27994.632601992791</v>
          </cell>
          <cell r="S66">
            <v>29326.658965060626</v>
          </cell>
          <cell r="T66">
            <v>30728.922277262052</v>
          </cell>
          <cell r="U66">
            <v>32201.950213363056</v>
          </cell>
        </row>
        <row r="70">
          <cell r="D70">
            <v>4705806.3089558631</v>
          </cell>
          <cell r="E70">
            <v>4340941.763453356</v>
          </cell>
          <cell r="F70">
            <v>3844137.8551025223</v>
          </cell>
          <cell r="G70">
            <v>3509186.964748635</v>
          </cell>
          <cell r="H70">
            <v>3446537.7479086006</v>
          </cell>
          <cell r="I70">
            <v>3437162.9639086006</v>
          </cell>
          <cell r="J70">
            <v>3560480.7863356001</v>
          </cell>
          <cell r="K70">
            <v>3542403.1097903927</v>
          </cell>
          <cell r="L70">
            <v>3513124.4916536734</v>
          </cell>
          <cell r="M70">
            <v>3903889.9881826392</v>
          </cell>
          <cell r="N70">
            <v>4285471.2163100252</v>
          </cell>
          <cell r="O70">
            <v>4776276.5107750911</v>
          </cell>
          <cell r="P70">
            <v>5841970.612578948</v>
          </cell>
          <cell r="Q70">
            <v>7272200.54128017</v>
          </cell>
          <cell r="R70">
            <v>9076993.0097076613</v>
          </cell>
          <cell r="S70">
            <v>11426251.612919573</v>
          </cell>
          <cell r="T70">
            <v>14495552.887499876</v>
          </cell>
          <cell r="U70">
            <v>18291715.371724527</v>
          </cell>
        </row>
        <row r="71">
          <cell r="D71">
            <v>2365508.7555025062</v>
          </cell>
          <cell r="E71">
            <v>2456168.5783508345</v>
          </cell>
          <cell r="F71">
            <v>2521998.5703538866</v>
          </cell>
          <cell r="G71">
            <v>2624347.5658400343</v>
          </cell>
          <cell r="H71">
            <v>2658516.34</v>
          </cell>
          <cell r="I71">
            <v>2757291.0695730005</v>
          </cell>
          <cell r="J71">
            <v>2869734.3235452077</v>
          </cell>
          <cell r="K71">
            <v>2964597.3231367185</v>
          </cell>
          <cell r="L71">
            <v>3067061.728439034</v>
          </cell>
          <cell r="M71">
            <v>3234383.7217126149</v>
          </cell>
          <cell r="N71">
            <v>3352157.3433749327</v>
          </cell>
          <cell r="O71">
            <v>3495150.2059999988</v>
          </cell>
          <cell r="P71">
            <v>3690795.7782504568</v>
          </cell>
          <cell r="Q71">
            <v>3862032.7742640958</v>
          </cell>
          <cell r="R71">
            <v>4030692.4231014964</v>
          </cell>
          <cell r="S71">
            <v>4227285.6448669033</v>
          </cell>
          <cell r="T71">
            <v>4462715.8032493573</v>
          </cell>
          <cell r="U71">
            <v>4707423.2845495166</v>
          </cell>
        </row>
        <row r="72">
          <cell r="D72">
            <v>511949.32804207609</v>
          </cell>
          <cell r="E72">
            <v>527934.40555040142</v>
          </cell>
          <cell r="F72">
            <v>543124.68336023914</v>
          </cell>
          <cell r="G72">
            <v>561350.36758108682</v>
          </cell>
          <cell r="H72">
            <v>571148.79</v>
          </cell>
          <cell r="I72">
            <v>589285.921768</v>
          </cell>
          <cell r="J72">
            <v>611036.88866610639</v>
          </cell>
          <cell r="K72">
            <v>628423.32301102171</v>
          </cell>
          <cell r="L72">
            <v>648592.91635927767</v>
          </cell>
          <cell r="M72">
            <v>673768.53886268241</v>
          </cell>
          <cell r="N72">
            <v>694489.00924894714</v>
          </cell>
          <cell r="O72">
            <v>724250.54599999986</v>
          </cell>
          <cell r="P72">
            <v>745256.02814118494</v>
          </cell>
          <cell r="Q72">
            <v>767679.04794345412</v>
          </cell>
          <cell r="R72">
            <v>789338.21996280993</v>
          </cell>
          <cell r="S72">
            <v>812684.25167592452</v>
          </cell>
          <cell r="T72">
            <v>836921.52664001158</v>
          </cell>
          <cell r="U72">
            <v>862458.14862845186</v>
          </cell>
        </row>
        <row r="73">
          <cell r="D73">
            <v>342987.8102960331</v>
          </cell>
          <cell r="E73">
            <v>353408.28827035811</v>
          </cell>
          <cell r="F73">
            <v>363718.48966087447</v>
          </cell>
          <cell r="G73">
            <v>375418.47775519203</v>
          </cell>
          <cell r="H73">
            <v>382453.005</v>
          </cell>
          <cell r="I73">
            <v>395076.55698749999</v>
          </cell>
          <cell r="J73">
            <v>410643.94517819624</v>
          </cell>
          <cell r="K73">
            <v>421245.97299845202</v>
          </cell>
          <cell r="L73">
            <v>435328.85515130206</v>
          </cell>
          <cell r="M73">
            <v>453210.18057768908</v>
          </cell>
          <cell r="N73">
            <v>466004.1758363485</v>
          </cell>
          <cell r="O73">
            <v>487527.19499999983</v>
          </cell>
          <cell r="P73">
            <v>500207.6031302578</v>
          </cell>
          <cell r="Q73">
            <v>515255.26926239557</v>
          </cell>
          <cell r="R73">
            <v>529458.16447511862</v>
          </cell>
          <cell r="S73">
            <v>545055.00470888091</v>
          </cell>
          <cell r="T73">
            <v>560659.29037484876</v>
          </cell>
          <cell r="U73">
            <v>577420.20425293921</v>
          </cell>
        </row>
        <row r="74">
          <cell r="D74">
            <v>102904.89568683639</v>
          </cell>
          <cell r="E74">
            <v>106388.71162597171</v>
          </cell>
          <cell r="F74">
            <v>109122.45976718984</v>
          </cell>
          <cell r="G74">
            <v>113434.21827485634</v>
          </cell>
          <cell r="H74">
            <v>114962.46</v>
          </cell>
          <cell r="I74">
            <v>118094.453383</v>
          </cell>
          <cell r="J74">
            <v>121819.52045227091</v>
          </cell>
          <cell r="K74">
            <v>126066.00541287925</v>
          </cell>
          <cell r="L74">
            <v>129532.82017771526</v>
          </cell>
          <cell r="M74">
            <v>134122.59816945548</v>
          </cell>
          <cell r="N74">
            <v>139257.19824532891</v>
          </cell>
          <cell r="O74">
            <v>143915.75599999999</v>
          </cell>
          <cell r="P74">
            <v>149569.92838487559</v>
          </cell>
          <cell r="Q74">
            <v>154307.67441870458</v>
          </cell>
          <cell r="R74">
            <v>159124.42288724479</v>
          </cell>
          <cell r="S74">
            <v>164094.65903206996</v>
          </cell>
          <cell r="T74">
            <v>169820.81485267705</v>
          </cell>
          <cell r="U74">
            <v>175567.28567306808</v>
          </cell>
        </row>
        <row r="75">
          <cell r="D75">
            <v>66056.622059206624</v>
          </cell>
          <cell r="E75">
            <v>68137.405654071612</v>
          </cell>
          <cell r="F75">
            <v>70283.733932174888</v>
          </cell>
          <cell r="G75">
            <v>72497.671551038409</v>
          </cell>
          <cell r="H75">
            <v>73733.324999999997</v>
          </cell>
          <cell r="I75">
            <v>76114.911397500007</v>
          </cell>
          <cell r="J75">
            <v>78573.423035639251</v>
          </cell>
          <cell r="K75">
            <v>81111.344599690405</v>
          </cell>
          <cell r="L75">
            <v>83731.241030260397</v>
          </cell>
          <cell r="M75">
            <v>86435.760115537822</v>
          </cell>
          <cell r="N75">
            <v>89227.635167269691</v>
          </cell>
          <cell r="O75">
            <v>92807.594999999972</v>
          </cell>
          <cell r="P75">
            <v>95478.49662605155</v>
          </cell>
          <cell r="Q75">
            <v>98116.104262353954</v>
          </cell>
          <cell r="R75">
            <v>100755.63260044651</v>
          </cell>
          <cell r="S75">
            <v>103534.58793497359</v>
          </cell>
          <cell r="T75">
            <v>106441.4214124858</v>
          </cell>
          <cell r="U75">
            <v>109470.65870244455</v>
          </cell>
        </row>
        <row r="76">
          <cell r="D76">
            <v>1752272.6069696466</v>
          </cell>
          <cell r="E76">
            <v>1823756.8174641901</v>
          </cell>
          <cell r="F76">
            <v>1871105.4949643125</v>
          </cell>
          <cell r="G76">
            <v>1951834.1018806887</v>
          </cell>
          <cell r="H76">
            <v>1974309.7849999999</v>
          </cell>
          <cell r="I76">
            <v>2051295.6169955002</v>
          </cell>
          <cell r="J76">
            <v>2138218.1862244545</v>
          </cell>
          <cell r="K76">
            <v>2211803.2717395048</v>
          </cell>
          <cell r="L76">
            <v>2290080.9091666909</v>
          </cell>
          <cell r="M76">
            <v>2428080.3506727745</v>
          </cell>
          <cell r="N76">
            <v>2520852.6268695053</v>
          </cell>
          <cell r="O76">
            <v>2628594.6809999994</v>
          </cell>
          <cell r="P76">
            <v>2799139.3886159924</v>
          </cell>
          <cell r="Q76">
            <v>2943909.0331183658</v>
          </cell>
          <cell r="R76">
            <v>3086862.2331513353</v>
          </cell>
          <cell r="S76">
            <v>3255848.3583573531</v>
          </cell>
          <cell r="T76">
            <v>3462584.0971102011</v>
          </cell>
          <cell r="U76">
            <v>3677110.1259106495</v>
          </cell>
        </row>
        <row r="77">
          <cell r="D77">
            <v>708739.07255259517</v>
          </cell>
          <cell r="E77">
            <v>736940.01943800179</v>
          </cell>
          <cell r="F77">
            <v>760593.01670029899</v>
          </cell>
          <cell r="G77">
            <v>794399.03447635856</v>
          </cell>
          <cell r="H77">
            <v>800663.6</v>
          </cell>
          <cell r="I77">
            <v>828914.73971000011</v>
          </cell>
          <cell r="J77">
            <v>860528.84833263303</v>
          </cell>
          <cell r="K77">
            <v>884242.11626377713</v>
          </cell>
          <cell r="L77">
            <v>916098.58294909715</v>
          </cell>
          <cell r="M77">
            <v>947501.46107835299</v>
          </cell>
          <cell r="N77">
            <v>991161.26156118384</v>
          </cell>
          <cell r="O77">
            <v>1030905.1199999998</v>
          </cell>
          <cell r="P77">
            <v>1070030.6351764812</v>
          </cell>
          <cell r="Q77">
            <v>1107832.4635685922</v>
          </cell>
          <cell r="R77">
            <v>1147987.6026995685</v>
          </cell>
          <cell r="S77">
            <v>1188459.5630734013</v>
          </cell>
          <cell r="T77">
            <v>1232840.7863027523</v>
          </cell>
          <cell r="U77">
            <v>1279195.4821926334</v>
          </cell>
        </row>
        <row r="78">
          <cell r="D78">
            <v>990688.23676968599</v>
          </cell>
          <cell r="E78">
            <v>1032306.8735029311</v>
          </cell>
          <cell r="F78">
            <v>1054285.4911182737</v>
          </cell>
          <cell r="G78">
            <v>1099436.9301634994</v>
          </cell>
          <cell r="H78">
            <v>1114659.5249999999</v>
          </cell>
          <cell r="I78">
            <v>1161488.9481675001</v>
          </cell>
          <cell r="J78">
            <v>1214830.5994633103</v>
          </cell>
          <cell r="K78">
            <v>1262672.0797959752</v>
          </cell>
          <cell r="L78">
            <v>1306997.3333933852</v>
          </cell>
          <cell r="M78">
            <v>1411430.2815019914</v>
          </cell>
          <cell r="N78">
            <v>1458309.2571745059</v>
          </cell>
          <cell r="O78">
            <v>1523443.4849999996</v>
          </cell>
          <cell r="P78">
            <v>1652725.9561386702</v>
          </cell>
          <cell r="Q78">
            <v>1757583.68613989</v>
          </cell>
          <cell r="R78">
            <v>1858270.1243714094</v>
          </cell>
          <cell r="S78">
            <v>1984561.124935973</v>
          </cell>
          <cell r="T78">
            <v>2144590.1736774603</v>
          </cell>
          <cell r="U78">
            <v>2310338.1167560602</v>
          </cell>
        </row>
        <row r="79">
          <cell r="D79">
            <v>52845.297647365296</v>
          </cell>
          <cell r="E79">
            <v>54509.924523257301</v>
          </cell>
          <cell r="F79">
            <v>56226.987145739913</v>
          </cell>
          <cell r="G79">
            <v>57998.137240830729</v>
          </cell>
          <cell r="H79">
            <v>58986.66</v>
          </cell>
          <cell r="I79">
            <v>60891.929118</v>
          </cell>
          <cell r="J79">
            <v>62858.738428511402</v>
          </cell>
          <cell r="K79">
            <v>64889.075679752321</v>
          </cell>
          <cell r="L79">
            <v>66984.992824208326</v>
          </cell>
          <cell r="M79">
            <v>69148.608092430251</v>
          </cell>
          <cell r="N79">
            <v>71382.108133815753</v>
          </cell>
          <cell r="O79">
            <v>74246.075999999972</v>
          </cell>
          <cell r="P79">
            <v>76382.797300841237</v>
          </cell>
          <cell r="Q79">
            <v>78492.883409883172</v>
          </cell>
          <cell r="R79">
            <v>80604.506080357212</v>
          </cell>
          <cell r="S79">
            <v>82827.67034797887</v>
          </cell>
          <cell r="T79">
            <v>85153.137129988638</v>
          </cell>
          <cell r="U79">
            <v>87576.526961955635</v>
          </cell>
        </row>
        <row r="80">
          <cell r="D80">
            <v>44037.748039471073</v>
          </cell>
          <cell r="E80">
            <v>45424.937102714415</v>
          </cell>
          <cell r="F80">
            <v>46855.82262144993</v>
          </cell>
          <cell r="G80">
            <v>48331.781034025611</v>
          </cell>
          <cell r="H80">
            <v>49155.55</v>
          </cell>
          <cell r="I80">
            <v>50743.274265</v>
          </cell>
          <cell r="J80">
            <v>52382.282023759501</v>
          </cell>
          <cell r="K80">
            <v>54074.229733126936</v>
          </cell>
          <cell r="L80">
            <v>55820.827353506938</v>
          </cell>
          <cell r="M80">
            <v>57623.840077025212</v>
          </cell>
          <cell r="N80">
            <v>59485.090111513127</v>
          </cell>
          <cell r="O80">
            <v>61871.729999999989</v>
          </cell>
          <cell r="P80">
            <v>63652.331084034369</v>
          </cell>
          <cell r="Q80">
            <v>65410.736174902631</v>
          </cell>
          <cell r="R80">
            <v>67170.42173363101</v>
          </cell>
          <cell r="S80">
            <v>69023.058623315723</v>
          </cell>
          <cell r="T80">
            <v>70960.947608323855</v>
          </cell>
          <cell r="U80">
            <v>72980.439134963031</v>
          </cell>
        </row>
        <row r="81">
          <cell r="D81">
            <v>57249.072451312401</v>
          </cell>
          <cell r="E81">
            <v>59052.418233528741</v>
          </cell>
          <cell r="F81">
            <v>60912.569407884912</v>
          </cell>
          <cell r="G81">
            <v>62831.315344233291</v>
          </cell>
          <cell r="H81">
            <v>63902.214999999997</v>
          </cell>
          <cell r="I81">
            <v>65966.256544500007</v>
          </cell>
          <cell r="J81">
            <v>68096.966630887357</v>
          </cell>
          <cell r="K81">
            <v>70296.498653065006</v>
          </cell>
          <cell r="L81">
            <v>72567.075559559016</v>
          </cell>
          <cell r="M81">
            <v>74910.992100132775</v>
          </cell>
          <cell r="N81">
            <v>77330.617144967066</v>
          </cell>
          <cell r="O81">
            <v>80433.248999999967</v>
          </cell>
          <cell r="P81">
            <v>82748.03040924469</v>
          </cell>
          <cell r="Q81">
            <v>85033.957027373428</v>
          </cell>
          <cell r="R81">
            <v>87321.548253720306</v>
          </cell>
          <cell r="S81">
            <v>89729.976210310444</v>
          </cell>
          <cell r="T81">
            <v>92249.231890821029</v>
          </cell>
          <cell r="U81">
            <v>94874.570875451944</v>
          </cell>
        </row>
        <row r="82">
          <cell r="D82">
            <v>2122619.4555025063</v>
          </cell>
          <cell r="E82">
            <v>2189481.9683508347</v>
          </cell>
          <cell r="F82">
            <v>2258450.6503538862</v>
          </cell>
          <cell r="G82">
            <v>2329591.8458400345</v>
          </cell>
          <cell r="H82">
            <v>2369297.5099999993</v>
          </cell>
          <cell r="I82">
            <v>2445825.8195730001</v>
          </cell>
          <cell r="J82">
            <v>2524825.9935452081</v>
          </cell>
          <cell r="K82">
            <v>2606377.8731367183</v>
          </cell>
          <cell r="L82">
            <v>2690563.8784390339</v>
          </cell>
          <cell r="M82">
            <v>2777469.091712615</v>
          </cell>
          <cell r="N82">
            <v>2867181.3433749327</v>
          </cell>
          <cell r="O82">
            <v>2982217.385999999</v>
          </cell>
          <cell r="P82">
            <v>3068042.3582504569</v>
          </cell>
          <cell r="Q82">
            <v>3152797.483630307</v>
          </cell>
          <cell r="R82">
            <v>3237614.3275610148</v>
          </cell>
          <cell r="S82">
            <v>3326911.425643818</v>
          </cell>
          <cell r="T82">
            <v>3420317.6747212093</v>
          </cell>
          <cell r="U82">
            <v>3517657.1663052184</v>
          </cell>
        </row>
        <row r="83">
          <cell r="D83">
            <v>493222.77804207604</v>
          </cell>
          <cell r="E83">
            <v>508759.29555040144</v>
          </cell>
          <cell r="F83">
            <v>524785.21336023917</v>
          </cell>
          <cell r="G83">
            <v>541315.94758108677</v>
          </cell>
          <cell r="H83">
            <v>550542.16</v>
          </cell>
          <cell r="I83">
            <v>568324.671768</v>
          </cell>
          <cell r="J83">
            <v>586681.55866610643</v>
          </cell>
          <cell r="K83">
            <v>605631.37301102164</v>
          </cell>
          <cell r="L83">
            <v>625193.26635927777</v>
          </cell>
          <cell r="M83">
            <v>645387.00886268239</v>
          </cell>
          <cell r="N83">
            <v>666233.00924894714</v>
          </cell>
          <cell r="O83">
            <v>692963.37599999981</v>
          </cell>
          <cell r="P83">
            <v>712906.10814118502</v>
          </cell>
          <cell r="Q83">
            <v>732600.24515890959</v>
          </cell>
          <cell r="R83">
            <v>752308.7234166672</v>
          </cell>
          <cell r="S83">
            <v>773058.25658113626</v>
          </cell>
          <cell r="T83">
            <v>794762.61321322725</v>
          </cell>
          <cell r="U83">
            <v>817380.91831158602</v>
          </cell>
        </row>
        <row r="84">
          <cell r="D84">
            <v>330283.11029603309</v>
          </cell>
          <cell r="E84">
            <v>340687.0282703581</v>
          </cell>
          <cell r="F84">
            <v>351418.66966087447</v>
          </cell>
          <cell r="G84">
            <v>362488.35775519203</v>
          </cell>
          <cell r="H84">
            <v>368666.625</v>
          </cell>
          <cell r="I84">
            <v>380574.55698749999</v>
          </cell>
          <cell r="J84">
            <v>392867.11517819623</v>
          </cell>
          <cell r="K84">
            <v>405556.72299845202</v>
          </cell>
          <cell r="L84">
            <v>418656.20515130204</v>
          </cell>
          <cell r="M84">
            <v>432178.80057768908</v>
          </cell>
          <cell r="N84">
            <v>446138.1758363485</v>
          </cell>
          <cell r="O84">
            <v>464037.97499999986</v>
          </cell>
          <cell r="P84">
            <v>477392.48313025781</v>
          </cell>
          <cell r="Q84">
            <v>490580.52131176979</v>
          </cell>
          <cell r="R84">
            <v>503778.16300223256</v>
          </cell>
          <cell r="S84">
            <v>517672.93967486802</v>
          </cell>
          <cell r="T84">
            <v>532207.10706242896</v>
          </cell>
          <cell r="U84">
            <v>547353.29351222282</v>
          </cell>
        </row>
        <row r="85">
          <cell r="D85">
            <v>96883.045686836384</v>
          </cell>
          <cell r="E85">
            <v>99934.861625971709</v>
          </cell>
          <cell r="F85">
            <v>103082.80976718984</v>
          </cell>
          <cell r="G85">
            <v>106329.91827485633</v>
          </cell>
          <cell r="H85">
            <v>108142.21</v>
          </cell>
          <cell r="I85">
            <v>111635.203383</v>
          </cell>
          <cell r="J85">
            <v>115241.02045227091</v>
          </cell>
          <cell r="K85">
            <v>118963.30541287926</v>
          </cell>
          <cell r="L85">
            <v>122805.82017771526</v>
          </cell>
          <cell r="M85">
            <v>126772.44816945547</v>
          </cell>
          <cell r="N85">
            <v>130867.19824532889</v>
          </cell>
          <cell r="O85">
            <v>136117.80599999998</v>
          </cell>
          <cell r="P85">
            <v>140035.1283848756</v>
          </cell>
          <cell r="Q85">
            <v>143903.6195847858</v>
          </cell>
          <cell r="R85">
            <v>147774.92781398821</v>
          </cell>
          <cell r="S85">
            <v>151850.72897129462</v>
          </cell>
          <cell r="T85">
            <v>156114.08473831249</v>
          </cell>
          <cell r="U85">
            <v>160556.96609691868</v>
          </cell>
        </row>
        <row r="86">
          <cell r="D86">
            <v>66056.622059206624</v>
          </cell>
          <cell r="E86">
            <v>68137.405654071612</v>
          </cell>
          <cell r="F86">
            <v>70283.733932174888</v>
          </cell>
          <cell r="G86">
            <v>72497.671551038409</v>
          </cell>
          <cell r="H86">
            <v>73733.324999999997</v>
          </cell>
          <cell r="I86">
            <v>76114.911397500007</v>
          </cell>
          <cell r="J86">
            <v>78573.423035639251</v>
          </cell>
          <cell r="K86">
            <v>81111.344599690405</v>
          </cell>
          <cell r="L86">
            <v>83731.241030260397</v>
          </cell>
          <cell r="M86">
            <v>86435.760115537822</v>
          </cell>
          <cell r="N86">
            <v>89227.635167269691</v>
          </cell>
          <cell r="O86">
            <v>92807.594999999972</v>
          </cell>
          <cell r="P86">
            <v>95478.49662605155</v>
          </cell>
          <cell r="Q86">
            <v>98116.104262353954</v>
          </cell>
          <cell r="R86">
            <v>100755.63260044651</v>
          </cell>
          <cell r="S86">
            <v>103534.58793497359</v>
          </cell>
          <cell r="T86">
            <v>106441.4214124858</v>
          </cell>
          <cell r="U86">
            <v>109470.65870244455</v>
          </cell>
        </row>
        <row r="87">
          <cell r="D87">
            <v>1528109.8569696466</v>
          </cell>
          <cell r="E87">
            <v>1576245.3174641901</v>
          </cell>
          <cell r="F87">
            <v>1625897.0449643123</v>
          </cell>
          <cell r="G87">
            <v>1677112.8018806889</v>
          </cell>
          <cell r="H87">
            <v>1705697.5849999997</v>
          </cell>
          <cell r="I87">
            <v>1760791.6169954999</v>
          </cell>
          <cell r="J87">
            <v>1817665.1862244548</v>
          </cell>
          <cell r="K87">
            <v>1876375.7717395045</v>
          </cell>
          <cell r="L87">
            <v>1936982.7091666905</v>
          </cell>
          <cell r="M87">
            <v>1999547.2506727746</v>
          </cell>
          <cell r="N87">
            <v>2064132.6268695053</v>
          </cell>
          <cell r="O87">
            <v>2146949.0309999995</v>
          </cell>
          <cell r="P87">
            <v>2208735.8886159924</v>
          </cell>
          <cell r="Q87">
            <v>2269752.5452691219</v>
          </cell>
          <cell r="R87">
            <v>2330813.6341569964</v>
          </cell>
          <cell r="S87">
            <v>2395100.1342290556</v>
          </cell>
          <cell r="T87">
            <v>2462344.8820088375</v>
          </cell>
          <cell r="U87">
            <v>2532421.2379832175</v>
          </cell>
        </row>
        <row r="88">
          <cell r="D88">
            <v>616528.47255259519</v>
          </cell>
          <cell r="E88">
            <v>635949.11943800177</v>
          </cell>
          <cell r="F88">
            <v>655981.51670029899</v>
          </cell>
          <cell r="G88">
            <v>676644.93447635858</v>
          </cell>
          <cell r="H88">
            <v>688177.7</v>
          </cell>
          <cell r="I88">
            <v>710405.83971000009</v>
          </cell>
          <cell r="J88">
            <v>733351.94833263301</v>
          </cell>
          <cell r="K88">
            <v>757039.21626377711</v>
          </cell>
          <cell r="L88">
            <v>781491.58294909715</v>
          </cell>
          <cell r="M88">
            <v>806733.76107835292</v>
          </cell>
          <cell r="N88">
            <v>832791.26156118384</v>
          </cell>
          <cell r="O88">
            <v>866204.21999999974</v>
          </cell>
          <cell r="P88">
            <v>891132.6351764811</v>
          </cell>
          <cell r="Q88">
            <v>915750.30644863693</v>
          </cell>
          <cell r="R88">
            <v>940385.90427083406</v>
          </cell>
          <cell r="S88">
            <v>966322.82072642015</v>
          </cell>
          <cell r="T88">
            <v>993453.26651653415</v>
          </cell>
          <cell r="U88">
            <v>1021726.1478894826</v>
          </cell>
        </row>
        <row r="89">
          <cell r="D89">
            <v>858736.08676968596</v>
          </cell>
          <cell r="E89">
            <v>885786.27350293112</v>
          </cell>
          <cell r="F89">
            <v>913688.54111827363</v>
          </cell>
          <cell r="G89">
            <v>942469.73016349936</v>
          </cell>
          <cell r="H89">
            <v>958533.22499999998</v>
          </cell>
          <cell r="I89">
            <v>989493.84816749999</v>
          </cell>
          <cell r="J89">
            <v>1021454.4994633103</v>
          </cell>
          <cell r="K89">
            <v>1054447.4797959751</v>
          </cell>
          <cell r="L89">
            <v>1088506.1333933852</v>
          </cell>
          <cell r="M89">
            <v>1123664.8815019915</v>
          </cell>
          <cell r="N89">
            <v>1159959.2571745059</v>
          </cell>
          <cell r="O89">
            <v>1206498.7349999996</v>
          </cell>
          <cell r="P89">
            <v>1241220.4561386702</v>
          </cell>
          <cell r="Q89">
            <v>1275509.3554106015</v>
          </cell>
          <cell r="R89">
            <v>1309823.2238058047</v>
          </cell>
          <cell r="S89">
            <v>1345949.6431546567</v>
          </cell>
          <cell r="T89">
            <v>1383738.4783623151</v>
          </cell>
          <cell r="U89">
            <v>1423118.5631317792</v>
          </cell>
        </row>
        <row r="90">
          <cell r="D90">
            <v>52845.297647365296</v>
          </cell>
          <cell r="E90">
            <v>54509.924523257301</v>
          </cell>
          <cell r="F90">
            <v>56226.987145739913</v>
          </cell>
          <cell r="G90">
            <v>57998.137240830729</v>
          </cell>
          <cell r="H90">
            <v>58986.66</v>
          </cell>
          <cell r="I90">
            <v>60891.929118</v>
          </cell>
          <cell r="J90">
            <v>62858.738428511402</v>
          </cell>
          <cell r="K90">
            <v>64889.075679752321</v>
          </cell>
          <cell r="L90">
            <v>66984.992824208326</v>
          </cell>
          <cell r="M90">
            <v>69148.608092430251</v>
          </cell>
          <cell r="N90">
            <v>71382.108133815753</v>
          </cell>
          <cell r="O90">
            <v>74246.075999999972</v>
          </cell>
          <cell r="P90">
            <v>76382.797300841237</v>
          </cell>
          <cell r="Q90">
            <v>78492.883409883172</v>
          </cell>
          <cell r="R90">
            <v>80604.506080357212</v>
          </cell>
          <cell r="S90">
            <v>82827.67034797887</v>
          </cell>
          <cell r="T90">
            <v>85153.137129988638</v>
          </cell>
          <cell r="U90">
            <v>87576.526961955635</v>
          </cell>
        </row>
        <row r="91">
          <cell r="D91">
            <v>44037.748039471073</v>
          </cell>
          <cell r="E91">
            <v>45424.937102714415</v>
          </cell>
          <cell r="F91">
            <v>46855.82262144993</v>
          </cell>
          <cell r="G91">
            <v>48331.781034025611</v>
          </cell>
          <cell r="H91">
            <v>49155.55</v>
          </cell>
          <cell r="I91">
            <v>50743.274265</v>
          </cell>
          <cell r="J91">
            <v>52382.282023759501</v>
          </cell>
          <cell r="K91">
            <v>54074.229733126936</v>
          </cell>
          <cell r="L91">
            <v>55820.827353506938</v>
          </cell>
          <cell r="M91">
            <v>57623.840077025212</v>
          </cell>
          <cell r="N91">
            <v>59485.090111513127</v>
          </cell>
          <cell r="O91">
            <v>61871.729999999989</v>
          </cell>
          <cell r="P91">
            <v>63652.331084034369</v>
          </cell>
          <cell r="Q91">
            <v>65410.736174902631</v>
          </cell>
          <cell r="R91">
            <v>67170.42173363101</v>
          </cell>
          <cell r="S91">
            <v>69023.058623315723</v>
          </cell>
          <cell r="T91">
            <v>70960.947608323855</v>
          </cell>
          <cell r="U91">
            <v>72980.439134963031</v>
          </cell>
        </row>
        <row r="92">
          <cell r="D92">
            <v>57249.072451312401</v>
          </cell>
          <cell r="E92">
            <v>59052.418233528741</v>
          </cell>
          <cell r="F92">
            <v>60912.569407884912</v>
          </cell>
          <cell r="G92">
            <v>62831.315344233291</v>
          </cell>
          <cell r="H92">
            <v>63902.214999999997</v>
          </cell>
          <cell r="I92">
            <v>65966.256544500007</v>
          </cell>
          <cell r="J92">
            <v>68096.966630887357</v>
          </cell>
          <cell r="K92">
            <v>70296.498653065006</v>
          </cell>
          <cell r="L92">
            <v>72567.075559559016</v>
          </cell>
          <cell r="M92">
            <v>74910.992100132775</v>
          </cell>
          <cell r="N92">
            <v>77330.617144967066</v>
          </cell>
          <cell r="O92">
            <v>80433.248999999967</v>
          </cell>
          <cell r="P92">
            <v>82748.03040924469</v>
          </cell>
          <cell r="Q92">
            <v>85033.957027373428</v>
          </cell>
          <cell r="R92">
            <v>87321.548253720306</v>
          </cell>
          <cell r="S92">
            <v>89729.976210310444</v>
          </cell>
          <cell r="T92">
            <v>92249.231890821029</v>
          </cell>
          <cell r="U92">
            <v>94874.570875451944</v>
          </cell>
        </row>
        <row r="93">
          <cell r="D93">
            <v>242889.3</v>
          </cell>
          <cell r="E93">
            <v>266686.61</v>
          </cell>
          <cell r="F93">
            <v>263547.92</v>
          </cell>
          <cell r="G93">
            <v>294755.71999999997</v>
          </cell>
          <cell r="H93">
            <v>289218.83</v>
          </cell>
          <cell r="I93">
            <v>311465.25</v>
          </cell>
          <cell r="J93">
            <v>344908.33</v>
          </cell>
          <cell r="K93">
            <v>358219.45</v>
          </cell>
          <cell r="L93">
            <v>376497.85</v>
          </cell>
          <cell r="M93">
            <v>456914.63</v>
          </cell>
          <cell r="N93">
            <v>484976</v>
          </cell>
          <cell r="O93">
            <v>512932.82</v>
          </cell>
          <cell r="P93">
            <v>622753.42000000004</v>
          </cell>
          <cell r="Q93">
            <v>709235.29063378833</v>
          </cell>
          <cell r="R93">
            <v>793078.09554048174</v>
          </cell>
          <cell r="S93">
            <v>900374.21922308579</v>
          </cell>
          <cell r="T93">
            <v>1042398.1285281479</v>
          </cell>
          <cell r="U93">
            <v>1189766.1182442976</v>
          </cell>
        </row>
        <row r="94">
          <cell r="D94">
            <v>18726.55</v>
          </cell>
          <cell r="E94">
            <v>19175.11</v>
          </cell>
          <cell r="F94">
            <v>18339.47</v>
          </cell>
          <cell r="G94">
            <v>20034.419999999998</v>
          </cell>
          <cell r="H94">
            <v>20606.629999999997</v>
          </cell>
          <cell r="I94">
            <v>20961.25</v>
          </cell>
          <cell r="J94">
            <v>24355.329999999998</v>
          </cell>
          <cell r="K94">
            <v>22791.95</v>
          </cell>
          <cell r="L94">
            <v>23399.649999999998</v>
          </cell>
          <cell r="M94">
            <v>28381.530000000002</v>
          </cell>
          <cell r="N94">
            <v>28256</v>
          </cell>
          <cell r="O94">
            <v>31287.17</v>
          </cell>
          <cell r="P94">
            <v>32349.919999999998</v>
          </cell>
          <cell r="Q94">
            <v>35078.802784544583</v>
          </cell>
          <cell r="R94">
            <v>37029.496546142589</v>
          </cell>
          <cell r="S94">
            <v>39625.995094788246</v>
          </cell>
          <cell r="T94">
            <v>42158.913426784318</v>
          </cell>
          <cell r="U94">
            <v>45077.230316865811</v>
          </cell>
        </row>
        <row r="95">
          <cell r="D95">
            <v>12704.699999999999</v>
          </cell>
          <cell r="E95">
            <v>12721.26</v>
          </cell>
          <cell r="F95">
            <v>12299.82</v>
          </cell>
          <cell r="G95">
            <v>12930.119999999999</v>
          </cell>
          <cell r="H95">
            <v>13786.38</v>
          </cell>
          <cell r="I95">
            <v>14502</v>
          </cell>
          <cell r="J95">
            <v>17776.829999999998</v>
          </cell>
          <cell r="K95">
            <v>15689.25</v>
          </cell>
          <cell r="L95">
            <v>16672.649999999998</v>
          </cell>
          <cell r="M95">
            <v>21031.38</v>
          </cell>
          <cell r="N95">
            <v>19866</v>
          </cell>
          <cell r="O95">
            <v>23489.219999999998</v>
          </cell>
          <cell r="P95">
            <v>22815.119999999999</v>
          </cell>
          <cell r="Q95">
            <v>24674.747950625799</v>
          </cell>
          <cell r="R95">
            <v>25680.001472886026</v>
          </cell>
          <cell r="S95">
            <v>27382.065034012907</v>
          </cell>
          <cell r="T95">
            <v>28452.183312419766</v>
          </cell>
          <cell r="U95">
            <v>30066.910740716405</v>
          </cell>
        </row>
        <row r="96">
          <cell r="D96">
            <v>6021.85</v>
          </cell>
          <cell r="E96">
            <v>6453.85</v>
          </cell>
          <cell r="F96">
            <v>6039.6500000000005</v>
          </cell>
          <cell r="G96">
            <v>7104.3</v>
          </cell>
          <cell r="H96">
            <v>6820.25</v>
          </cell>
          <cell r="I96">
            <v>6459.25</v>
          </cell>
          <cell r="J96">
            <v>6578.5</v>
          </cell>
          <cell r="K96">
            <v>7102.7000000000007</v>
          </cell>
          <cell r="L96">
            <v>6727</v>
          </cell>
          <cell r="M96">
            <v>7350.1500000000005</v>
          </cell>
          <cell r="N96">
            <v>8390</v>
          </cell>
          <cell r="O96">
            <v>7797.9500000000007</v>
          </cell>
          <cell r="P96">
            <v>9534.8000000000011</v>
          </cell>
          <cell r="Q96">
            <v>10404.054833918784</v>
          </cell>
          <cell r="R96">
            <v>11349.495073256563</v>
          </cell>
          <cell r="S96">
            <v>12243.930060775339</v>
          </cell>
          <cell r="T96">
            <v>13706.730114364549</v>
          </cell>
          <cell r="U96">
            <v>15010.319576149408</v>
          </cell>
        </row>
        <row r="97">
          <cell r="D97">
            <v>224162.75</v>
          </cell>
          <cell r="E97">
            <v>247511.5</v>
          </cell>
          <cell r="F97">
            <v>245208.44999999998</v>
          </cell>
          <cell r="G97">
            <v>274721.3</v>
          </cell>
          <cell r="H97">
            <v>268612.2</v>
          </cell>
          <cell r="I97">
            <v>290504</v>
          </cell>
          <cell r="J97">
            <v>320553</v>
          </cell>
          <cell r="K97">
            <v>335427.5</v>
          </cell>
          <cell r="L97">
            <v>353098.19999999995</v>
          </cell>
          <cell r="M97">
            <v>428533.1</v>
          </cell>
          <cell r="N97">
            <v>456720</v>
          </cell>
          <cell r="O97">
            <v>481645.65</v>
          </cell>
          <cell r="P97">
            <v>590403.5</v>
          </cell>
          <cell r="Q97">
            <v>674156.4878492438</v>
          </cell>
          <cell r="R97">
            <v>756048.59899433912</v>
          </cell>
          <cell r="S97">
            <v>860748.22412829753</v>
          </cell>
          <cell r="T97">
            <v>1000239.2151013636</v>
          </cell>
          <cell r="U97">
            <v>1144688.8879274318</v>
          </cell>
        </row>
        <row r="98">
          <cell r="D98">
            <v>92210.6</v>
          </cell>
          <cell r="E98">
            <v>100990.90000000001</v>
          </cell>
          <cell r="F98">
            <v>104611.5</v>
          </cell>
          <cell r="G98">
            <v>117754.1</v>
          </cell>
          <cell r="H98">
            <v>112485.90000000001</v>
          </cell>
          <cell r="I98">
            <v>118508.90000000001</v>
          </cell>
          <cell r="J98">
            <v>127176.90000000001</v>
          </cell>
          <cell r="K98">
            <v>127202.90000000001</v>
          </cell>
          <cell r="L98">
            <v>134607</v>
          </cell>
          <cell r="M98">
            <v>140767.70000000001</v>
          </cell>
          <cell r="N98">
            <v>158370</v>
          </cell>
          <cell r="O98">
            <v>164700.90000000002</v>
          </cell>
          <cell r="P98">
            <v>178898</v>
          </cell>
          <cell r="Q98">
            <v>192082.15711995523</v>
          </cell>
          <cell r="R98">
            <v>207601.69842873455</v>
          </cell>
          <cell r="S98">
            <v>222136.74234698113</v>
          </cell>
          <cell r="T98">
            <v>239387.51978621824</v>
          </cell>
          <cell r="U98">
            <v>257469.33430315094</v>
          </cell>
        </row>
        <row r="99">
          <cell r="D99">
            <v>131952.15</v>
          </cell>
          <cell r="E99">
            <v>146520.6</v>
          </cell>
          <cell r="F99">
            <v>140596.94999999998</v>
          </cell>
          <cell r="G99">
            <v>156967.19999999998</v>
          </cell>
          <cell r="H99">
            <v>156126.29999999999</v>
          </cell>
          <cell r="I99">
            <v>171995.1</v>
          </cell>
          <cell r="J99">
            <v>193376.1</v>
          </cell>
          <cell r="K99">
            <v>208224.6</v>
          </cell>
          <cell r="L99">
            <v>218491.19999999998</v>
          </cell>
          <cell r="M99">
            <v>287765.39999999997</v>
          </cell>
          <cell r="N99">
            <v>298350</v>
          </cell>
          <cell r="O99">
            <v>316944.75</v>
          </cell>
          <cell r="P99">
            <v>411505.5</v>
          </cell>
          <cell r="Q99">
            <v>482074.33072928857</v>
          </cell>
          <cell r="R99">
            <v>548446.90056560456</v>
          </cell>
          <cell r="S99">
            <v>638611.48178131634</v>
          </cell>
          <cell r="T99">
            <v>760851.69531514531</v>
          </cell>
          <cell r="U99">
            <v>887219.55362428084</v>
          </cell>
        </row>
        <row r="100">
          <cell r="D100">
            <v>113210.39</v>
          </cell>
          <cell r="E100">
            <v>121845.43</v>
          </cell>
          <cell r="F100">
            <v>124453.02</v>
          </cell>
          <cell r="G100">
            <v>138683.69</v>
          </cell>
          <cell r="H100">
            <v>134584.81</v>
          </cell>
          <cell r="I100">
            <v>141856.11000000002</v>
          </cell>
          <cell r="J100">
            <v>154760.21000000002</v>
          </cell>
          <cell r="K100">
            <v>153063.01999999999</v>
          </cell>
          <cell r="L100">
            <v>163069.58000000002</v>
          </cell>
          <cell r="M100">
            <v>173849.90000000002</v>
          </cell>
          <cell r="N100">
            <v>189380.04</v>
          </cell>
          <cell r="O100">
            <v>202069.21000000002</v>
          </cell>
          <cell r="P100">
            <v>218779.16</v>
          </cell>
          <cell r="Q100">
            <v>235431.7291665705</v>
          </cell>
          <cell r="R100">
            <v>254253.24600898687</v>
          </cell>
          <cell r="S100">
            <v>274383.02965148748</v>
          </cell>
          <cell r="T100">
            <v>296866.08826112642</v>
          </cell>
          <cell r="U100">
            <v>320962.83416043146</v>
          </cell>
        </row>
        <row r="101">
          <cell r="D101">
            <v>15598.839999999998</v>
          </cell>
          <cell r="E101">
            <v>15751.599999999999</v>
          </cell>
          <cell r="F101">
            <v>15262.68</v>
          </cell>
          <cell r="G101">
            <v>16294.89</v>
          </cell>
          <cell r="H101">
            <v>17087.68</v>
          </cell>
          <cell r="I101">
            <v>17676.25</v>
          </cell>
          <cell r="J101">
            <v>21105.38</v>
          </cell>
          <cell r="K101">
            <v>19357.580000000002</v>
          </cell>
          <cell r="L101">
            <v>20476.399999999998</v>
          </cell>
          <cell r="M101">
            <v>25315.989999999998</v>
          </cell>
          <cell r="N101">
            <v>25002</v>
          </cell>
          <cell r="O101">
            <v>28310.399999999998</v>
          </cell>
          <cell r="P101">
            <v>29251.489999999998</v>
          </cell>
          <cell r="Q101">
            <v>32085.410260504741</v>
          </cell>
          <cell r="R101">
            <v>34270.865165008916</v>
          </cell>
          <cell r="S101">
            <v>37255.364728789704</v>
          </cell>
          <cell r="T101">
            <v>40441.127119733792</v>
          </cell>
          <cell r="U101">
            <v>44236.613651636333</v>
          </cell>
        </row>
        <row r="102">
          <cell r="D102">
            <v>12704.699999999999</v>
          </cell>
          <cell r="E102">
            <v>12721.26</v>
          </cell>
          <cell r="F102">
            <v>12299.82</v>
          </cell>
          <cell r="G102">
            <v>12930.119999999999</v>
          </cell>
          <cell r="H102">
            <v>13786.38</v>
          </cell>
          <cell r="I102">
            <v>14502</v>
          </cell>
          <cell r="J102">
            <v>17776.829999999998</v>
          </cell>
          <cell r="K102">
            <v>15689.25</v>
          </cell>
          <cell r="L102">
            <v>16672.649999999998</v>
          </cell>
          <cell r="M102">
            <v>21031.38</v>
          </cell>
          <cell r="N102">
            <v>19866</v>
          </cell>
          <cell r="O102">
            <v>23489.219999999998</v>
          </cell>
          <cell r="P102">
            <v>22815.119999999999</v>
          </cell>
          <cell r="Q102">
            <v>24674.747950625799</v>
          </cell>
          <cell r="R102">
            <v>25680.001472886026</v>
          </cell>
          <cell r="S102">
            <v>27382.065034012907</v>
          </cell>
          <cell r="T102">
            <v>28452.183312419766</v>
          </cell>
          <cell r="U102">
            <v>30066.910740716405</v>
          </cell>
        </row>
        <row r="103">
          <cell r="D103">
            <v>1947.9</v>
          </cell>
          <cell r="E103">
            <v>2127.6999999999998</v>
          </cell>
          <cell r="F103">
            <v>1980.52</v>
          </cell>
          <cell r="G103">
            <v>2301.1</v>
          </cell>
          <cell r="H103">
            <v>2205.04</v>
          </cell>
          <cell r="I103">
            <v>2112.96</v>
          </cell>
          <cell r="J103">
            <v>2334.6799999999998</v>
          </cell>
          <cell r="K103">
            <v>2343.04</v>
          </cell>
          <cell r="L103">
            <v>2205.1799999999998</v>
          </cell>
          <cell r="M103">
            <v>2403.46</v>
          </cell>
          <cell r="N103">
            <v>2768</v>
          </cell>
          <cell r="O103">
            <v>2528.8000000000002</v>
          </cell>
          <cell r="P103">
            <v>3094.78</v>
          </cell>
          <cell r="Q103">
            <v>3368.4131420762624</v>
          </cell>
          <cell r="R103">
            <v>3665.0610764717817</v>
          </cell>
          <cell r="S103">
            <v>3931.5155613186898</v>
          </cell>
          <cell r="T103">
            <v>4390.0693213934146</v>
          </cell>
          <cell r="U103">
            <v>4791.0618471067792</v>
          </cell>
        </row>
        <row r="104">
          <cell r="D104">
            <v>460.84000000000003</v>
          </cell>
          <cell r="E104">
            <v>453.84000000000003</v>
          </cell>
          <cell r="F104">
            <v>435.34000000000003</v>
          </cell>
          <cell r="G104">
            <v>540.62</v>
          </cell>
          <cell r="H104">
            <v>523.06000000000006</v>
          </cell>
          <cell r="I104">
            <v>470.74</v>
          </cell>
          <cell r="J104">
            <v>296.72000000000003</v>
          </cell>
          <cell r="K104">
            <v>498.04</v>
          </cell>
          <cell r="L104">
            <v>485.62</v>
          </cell>
          <cell r="M104">
            <v>536.6</v>
          </cell>
          <cell r="N104">
            <v>588</v>
          </cell>
          <cell r="O104">
            <v>590.38</v>
          </cell>
          <cell r="P104">
            <v>719.14</v>
          </cell>
          <cell r="Q104">
            <v>793.2087914912513</v>
          </cell>
          <cell r="R104">
            <v>874.73695283084351</v>
          </cell>
          <cell r="S104">
            <v>966.0564629914453</v>
          </cell>
          <cell r="T104">
            <v>1092.6227243524042</v>
          </cell>
          <cell r="U104">
            <v>1213.0659833529833</v>
          </cell>
        </row>
        <row r="105">
          <cell r="D105">
            <v>485.40000000000003</v>
          </cell>
          <cell r="E105">
            <v>448.8</v>
          </cell>
          <cell r="F105">
            <v>547</v>
          </cell>
          <cell r="G105">
            <v>523.05000000000007</v>
          </cell>
          <cell r="H105">
            <v>573.20000000000005</v>
          </cell>
          <cell r="I105">
            <v>590.55000000000007</v>
          </cell>
          <cell r="J105">
            <v>697.15000000000009</v>
          </cell>
          <cell r="K105">
            <v>827.25</v>
          </cell>
          <cell r="L105">
            <v>1112.95</v>
          </cell>
          <cell r="M105">
            <v>1344.5500000000002</v>
          </cell>
          <cell r="N105">
            <v>1780</v>
          </cell>
          <cell r="O105">
            <v>1702</v>
          </cell>
          <cell r="P105">
            <v>2622.4500000000003</v>
          </cell>
          <cell r="Q105">
            <v>3249.0403763114305</v>
          </cell>
          <cell r="R105">
            <v>4051.0656628202614</v>
          </cell>
          <cell r="S105">
            <v>4975.727670466661</v>
          </cell>
          <cell r="T105">
            <v>6506.2517615682118</v>
          </cell>
          <cell r="U105">
            <v>8165.5750804601594</v>
          </cell>
        </row>
        <row r="106">
          <cell r="D106">
            <v>96729.510000000009</v>
          </cell>
          <cell r="E106">
            <v>105118.65000000001</v>
          </cell>
          <cell r="F106">
            <v>108231.82</v>
          </cell>
          <cell r="G106">
            <v>121285.54000000001</v>
          </cell>
          <cell r="H106">
            <v>116252.63</v>
          </cell>
          <cell r="I106">
            <v>123015.6</v>
          </cell>
          <cell r="J106">
            <v>132348.77000000002</v>
          </cell>
          <cell r="K106">
            <v>132447.04000000001</v>
          </cell>
          <cell r="L106">
            <v>141373.76000000001</v>
          </cell>
          <cell r="M106">
            <v>147058.93000000002</v>
          </cell>
          <cell r="N106">
            <v>162869</v>
          </cell>
          <cell r="O106">
            <v>172274.07000000004</v>
          </cell>
          <cell r="P106">
            <v>187816.91</v>
          </cell>
          <cell r="Q106">
            <v>201638.7442147051</v>
          </cell>
          <cell r="R106">
            <v>218211.13268805796</v>
          </cell>
          <cell r="S106">
            <v>235284.03360888147</v>
          </cell>
          <cell r="T106">
            <v>254478.79464106468</v>
          </cell>
          <cell r="U106">
            <v>274681.26012582047</v>
          </cell>
        </row>
        <row r="107">
          <cell r="D107">
            <v>92210.6</v>
          </cell>
          <cell r="E107">
            <v>100990.90000000001</v>
          </cell>
          <cell r="F107">
            <v>104611.5</v>
          </cell>
          <cell r="G107">
            <v>117754.1</v>
          </cell>
          <cell r="H107">
            <v>112485.90000000001</v>
          </cell>
          <cell r="I107">
            <v>118508.90000000001</v>
          </cell>
          <cell r="J107">
            <v>127176.90000000001</v>
          </cell>
          <cell r="K107">
            <v>127202.90000000001</v>
          </cell>
          <cell r="L107">
            <v>134607</v>
          </cell>
          <cell r="M107">
            <v>140767.70000000001</v>
          </cell>
          <cell r="N107">
            <v>158370</v>
          </cell>
          <cell r="O107">
            <v>164700.90000000002</v>
          </cell>
          <cell r="P107">
            <v>178898</v>
          </cell>
          <cell r="Q107">
            <v>192082.15711995523</v>
          </cell>
          <cell r="R107">
            <v>207601.69842873455</v>
          </cell>
          <cell r="S107">
            <v>222136.74234698113</v>
          </cell>
          <cell r="T107">
            <v>239387.51978621824</v>
          </cell>
          <cell r="U107">
            <v>257469.33430315094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4518.91</v>
          </cell>
          <cell r="E109">
            <v>4127.75</v>
          </cell>
          <cell r="F109">
            <v>3620.32</v>
          </cell>
          <cell r="G109">
            <v>3531.44</v>
          </cell>
          <cell r="H109">
            <v>3766.73</v>
          </cell>
          <cell r="I109">
            <v>4506.7</v>
          </cell>
          <cell r="J109">
            <v>5171.87</v>
          </cell>
          <cell r="K109">
            <v>5244.14</v>
          </cell>
          <cell r="L109">
            <v>6766.76</v>
          </cell>
          <cell r="M109">
            <v>6291.2300000000005</v>
          </cell>
          <cell r="N109">
            <v>4499</v>
          </cell>
          <cell r="O109">
            <v>7573.17</v>
          </cell>
          <cell r="P109">
            <v>8918.91</v>
          </cell>
          <cell r="Q109">
            <v>9556.5870947498679</v>
          </cell>
          <cell r="R109">
            <v>10609.434259323418</v>
          </cell>
          <cell r="S109">
            <v>13147.291261900329</v>
          </cell>
          <cell r="T109">
            <v>15091.274854846431</v>
          </cell>
          <cell r="U109">
            <v>17211.925822669535</v>
          </cell>
        </row>
        <row r="110">
          <cell r="D110">
            <v>882.04</v>
          </cell>
          <cell r="E110">
            <v>975.18000000000006</v>
          </cell>
          <cell r="F110">
            <v>958.52</v>
          </cell>
          <cell r="G110">
            <v>1103.26</v>
          </cell>
          <cell r="H110">
            <v>1244.5</v>
          </cell>
          <cell r="I110">
            <v>1164.26</v>
          </cell>
          <cell r="J110">
            <v>1306.06</v>
          </cell>
          <cell r="K110">
            <v>1258.4000000000001</v>
          </cell>
          <cell r="L110">
            <v>1219.42</v>
          </cell>
          <cell r="M110">
            <v>1474.98</v>
          </cell>
          <cell r="N110">
            <v>1509.04</v>
          </cell>
          <cell r="O110">
            <v>1484.74</v>
          </cell>
          <cell r="P110">
            <v>1710.76</v>
          </cell>
          <cell r="Q110">
            <v>1707.5746913606388</v>
          </cell>
          <cell r="R110">
            <v>1771.2481559199675</v>
          </cell>
          <cell r="S110">
            <v>1843.6313138163075</v>
          </cell>
          <cell r="T110">
            <v>1946.1665003279554</v>
          </cell>
          <cell r="U110">
            <v>2044.9603829746461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132.221</v>
          </cell>
          <cell r="I111">
            <v>83.61</v>
          </cell>
          <cell r="J111">
            <v>135.625</v>
          </cell>
          <cell r="K111">
            <v>792.19</v>
          </cell>
          <cell r="L111">
            <v>24028.938031999998</v>
          </cell>
          <cell r="M111">
            <v>19950.79016</v>
          </cell>
          <cell r="N111">
            <v>35531.814160000002</v>
          </cell>
          <cell r="O111">
            <v>24700.87658</v>
          </cell>
          <cell r="P111">
            <v>29363.674328491008</v>
          </cell>
          <cell r="Q111">
            <v>27332.614190893848</v>
          </cell>
          <cell r="R111">
            <v>25700.75941055964</v>
          </cell>
          <cell r="S111">
            <v>25158.069273808396</v>
          </cell>
          <cell r="T111">
            <v>24914.81924476174</v>
          </cell>
          <cell r="U111">
            <v>25712.863426686883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132.12100000000001</v>
          </cell>
          <cell r="I112">
            <v>81.650000000000006</v>
          </cell>
          <cell r="J112">
            <v>0</v>
          </cell>
          <cell r="K112">
            <v>0</v>
          </cell>
          <cell r="L112">
            <v>23023.838032</v>
          </cell>
          <cell r="M112">
            <v>18920.594160000001</v>
          </cell>
          <cell r="N112">
            <v>34042.618159999998</v>
          </cell>
          <cell r="O112">
            <v>18815.67858</v>
          </cell>
          <cell r="P112">
            <v>21671.7</v>
          </cell>
          <cell r="Q112">
            <v>18336.577142775393</v>
          </cell>
          <cell r="R112">
            <v>15412.307449634969</v>
          </cell>
          <cell r="S112">
            <v>13153.90650920766</v>
          </cell>
          <cell r="T112">
            <v>10546.557635615409</v>
          </cell>
          <cell r="U112">
            <v>8881.1731257881474</v>
          </cell>
        </row>
        <row r="113">
          <cell r="H113">
            <v>132.12100000000001</v>
          </cell>
          <cell r="I113">
            <v>81.650000000000006</v>
          </cell>
          <cell r="J113">
            <v>0</v>
          </cell>
          <cell r="K113">
            <v>0</v>
          </cell>
          <cell r="L113">
            <v>0.7</v>
          </cell>
          <cell r="M113">
            <v>0</v>
          </cell>
          <cell r="N113">
            <v>0</v>
          </cell>
          <cell r="O113">
            <v>10</v>
          </cell>
          <cell r="P113">
            <v>15</v>
          </cell>
          <cell r="Q113">
            <v>15</v>
          </cell>
          <cell r="R113">
            <v>25</v>
          </cell>
          <cell r="S113">
            <v>30</v>
          </cell>
          <cell r="T113">
            <v>30</v>
          </cell>
          <cell r="U113">
            <v>100</v>
          </cell>
        </row>
        <row r="115">
          <cell r="L115">
            <v>23023.138031999999</v>
          </cell>
          <cell r="M115">
            <v>18920.594160000001</v>
          </cell>
          <cell r="N115">
            <v>34042.618159999998</v>
          </cell>
          <cell r="O115">
            <v>18805.67858</v>
          </cell>
          <cell r="P115">
            <v>21656.7</v>
          </cell>
          <cell r="Q115">
            <v>18321.577142775393</v>
          </cell>
          <cell r="R115">
            <v>15387.307449634969</v>
          </cell>
          <cell r="S115">
            <v>13123.90650920766</v>
          </cell>
          <cell r="T115">
            <v>10516.557635615409</v>
          </cell>
          <cell r="U115">
            <v>8781.1731257881474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1000</v>
          </cell>
          <cell r="M116">
            <v>1000</v>
          </cell>
          <cell r="N116">
            <v>1400</v>
          </cell>
          <cell r="O116">
            <v>5855.1</v>
          </cell>
          <cell r="P116">
            <v>7601.9743284910073</v>
          </cell>
          <cell r="Q116">
            <v>8905.632334509588</v>
          </cell>
          <cell r="R116">
            <v>10131.770434757704</v>
          </cell>
          <cell r="S116">
            <v>11797.43184570114</v>
          </cell>
          <cell r="T116">
            <v>14055.64459180885</v>
          </cell>
          <cell r="U116">
            <v>16390.109659256155</v>
          </cell>
        </row>
        <row r="118">
          <cell r="L118">
            <v>1000</v>
          </cell>
          <cell r="M118">
            <v>1000</v>
          </cell>
          <cell r="N118">
            <v>1400</v>
          </cell>
          <cell r="O118">
            <v>5855.1</v>
          </cell>
          <cell r="P118">
            <v>7601.9743284910073</v>
          </cell>
          <cell r="Q118">
            <v>8905.632334509588</v>
          </cell>
          <cell r="R118">
            <v>10131.770434757704</v>
          </cell>
          <cell r="S118">
            <v>11797.43184570114</v>
          </cell>
          <cell r="T118">
            <v>14055.64459180885</v>
          </cell>
          <cell r="U118">
            <v>16390.109659256155</v>
          </cell>
        </row>
        <row r="121">
          <cell r="H121">
            <v>0.1</v>
          </cell>
          <cell r="I121">
            <v>1.96</v>
          </cell>
          <cell r="J121">
            <v>135.625</v>
          </cell>
          <cell r="K121">
            <v>792.19</v>
          </cell>
          <cell r="L121">
            <v>5.0999999999999996</v>
          </cell>
          <cell r="M121">
            <v>30.196000000000002</v>
          </cell>
          <cell r="N121">
            <v>89.195999999999998</v>
          </cell>
          <cell r="O121">
            <v>30.097999999999999</v>
          </cell>
          <cell r="P121">
            <v>90</v>
          </cell>
          <cell r="Q121">
            <v>90.404713608868121</v>
          </cell>
          <cell r="R121">
            <v>156.6815261669652</v>
          </cell>
          <cell r="S121">
            <v>206.73091889959704</v>
          </cell>
          <cell r="T121">
            <v>312.61701733748095</v>
          </cell>
          <cell r="U121">
            <v>441.58064164258127</v>
          </cell>
        </row>
        <row r="123">
          <cell r="D123">
            <v>1988</v>
          </cell>
          <cell r="E123">
            <v>1989</v>
          </cell>
          <cell r="F123">
            <v>1990</v>
          </cell>
          <cell r="G123">
            <v>1991</v>
          </cell>
          <cell r="H123">
            <v>1992</v>
          </cell>
          <cell r="I123">
            <v>1993</v>
          </cell>
          <cell r="J123">
            <v>1994</v>
          </cell>
          <cell r="K123">
            <v>1995</v>
          </cell>
          <cell r="L123">
            <v>1996</v>
          </cell>
          <cell r="M123">
            <v>1997</v>
          </cell>
          <cell r="N123">
            <v>1998</v>
          </cell>
          <cell r="O123">
            <v>1999</v>
          </cell>
          <cell r="P123">
            <v>2000</v>
          </cell>
          <cell r="Q123">
            <v>2001</v>
          </cell>
          <cell r="R123">
            <v>2002</v>
          </cell>
          <cell r="S123">
            <v>2003</v>
          </cell>
          <cell r="T123">
            <v>2004</v>
          </cell>
          <cell r="U123">
            <v>2005</v>
          </cell>
        </row>
        <row r="124">
          <cell r="D124">
            <v>2440605</v>
          </cell>
          <cell r="E124">
            <v>2635092</v>
          </cell>
          <cell r="F124">
            <v>2605993</v>
          </cell>
          <cell r="G124">
            <v>2894807</v>
          </cell>
          <cell r="H124">
            <v>2869584</v>
          </cell>
          <cell r="I124">
            <v>3055302</v>
          </cell>
          <cell r="J124">
            <v>3411337</v>
          </cell>
          <cell r="K124">
            <v>3452361</v>
          </cell>
          <cell r="L124">
            <v>3637719</v>
          </cell>
          <cell r="M124">
            <v>4331995</v>
          </cell>
          <cell r="N124">
            <v>4554652</v>
          </cell>
          <cell r="O124">
            <v>4876031</v>
          </cell>
          <cell r="P124">
            <v>5702618</v>
          </cell>
          <cell r="Q124">
            <v>6402460.7443526983</v>
          </cell>
          <cell r="R124">
            <v>7081352.72869593</v>
          </cell>
          <cell r="S124">
            <v>7947608.3531149784</v>
          </cell>
          <cell r="T124">
            <v>9053387.3140168618</v>
          </cell>
          <cell r="U124">
            <v>10213958.690431545</v>
          </cell>
        </row>
        <row r="125">
          <cell r="D125">
            <v>553635</v>
          </cell>
          <cell r="E125">
            <v>562095</v>
          </cell>
          <cell r="F125">
            <v>541727</v>
          </cell>
          <cell r="G125">
            <v>583551</v>
          </cell>
          <cell r="H125">
            <v>607415</v>
          </cell>
          <cell r="I125">
            <v>624396</v>
          </cell>
          <cell r="J125">
            <v>738074</v>
          </cell>
          <cell r="K125">
            <v>681574</v>
          </cell>
          <cell r="L125">
            <v>712554</v>
          </cell>
          <cell r="M125">
            <v>874940</v>
          </cell>
          <cell r="N125">
            <v>865600</v>
          </cell>
          <cell r="O125">
            <v>972973</v>
          </cell>
          <cell r="P125">
            <v>1003649</v>
          </cell>
          <cell r="Q125">
            <v>1095553.5025587976</v>
          </cell>
          <cell r="R125">
            <v>1164011.2638177373</v>
          </cell>
          <cell r="S125">
            <v>1257128.6557586035</v>
          </cell>
          <cell r="T125">
            <v>1352665.7479326474</v>
          </cell>
          <cell r="U125">
            <v>1465748.2511560714</v>
          </cell>
        </row>
        <row r="126">
          <cell r="D126">
            <v>423490</v>
          </cell>
          <cell r="E126">
            <v>424042</v>
          </cell>
          <cell r="F126">
            <v>409994</v>
          </cell>
          <cell r="G126">
            <v>431004</v>
          </cell>
          <cell r="H126">
            <v>459546</v>
          </cell>
          <cell r="I126">
            <v>483400</v>
          </cell>
          <cell r="J126">
            <v>592561</v>
          </cell>
          <cell r="K126">
            <v>522975</v>
          </cell>
          <cell r="L126">
            <v>555755</v>
          </cell>
          <cell r="M126">
            <v>701046</v>
          </cell>
          <cell r="N126">
            <v>662200</v>
          </cell>
          <cell r="O126">
            <v>782974</v>
          </cell>
          <cell r="P126">
            <v>760504</v>
          </cell>
          <cell r="Q126">
            <v>822491.59835419327</v>
          </cell>
          <cell r="R126">
            <v>856000.04909620085</v>
          </cell>
          <cell r="S126">
            <v>912735.50113376358</v>
          </cell>
          <cell r="T126">
            <v>948406.1104139922</v>
          </cell>
          <cell r="U126">
            <v>1002230.3580238802</v>
          </cell>
        </row>
        <row r="127">
          <cell r="D127">
            <v>97395</v>
          </cell>
          <cell r="E127">
            <v>106385</v>
          </cell>
          <cell r="F127">
            <v>99026</v>
          </cell>
          <cell r="G127">
            <v>115055</v>
          </cell>
          <cell r="H127">
            <v>110252</v>
          </cell>
          <cell r="I127">
            <v>105648</v>
          </cell>
          <cell r="J127">
            <v>116734</v>
          </cell>
          <cell r="K127">
            <v>117152</v>
          </cell>
          <cell r="L127">
            <v>110259</v>
          </cell>
          <cell r="M127">
            <v>120173</v>
          </cell>
          <cell r="N127">
            <v>138400</v>
          </cell>
          <cell r="O127">
            <v>126440</v>
          </cell>
          <cell r="P127">
            <v>154739</v>
          </cell>
          <cell r="Q127">
            <v>168420.65710381311</v>
          </cell>
          <cell r="R127">
            <v>183253.05382358909</v>
          </cell>
          <cell r="S127">
            <v>196575.77806593449</v>
          </cell>
          <cell r="T127">
            <v>219503.46606967074</v>
          </cell>
          <cell r="U127">
            <v>239553.09235533897</v>
          </cell>
        </row>
        <row r="128">
          <cell r="D128">
            <v>23042</v>
          </cell>
          <cell r="E128">
            <v>22692</v>
          </cell>
          <cell r="F128">
            <v>21767</v>
          </cell>
          <cell r="G128">
            <v>27031</v>
          </cell>
          <cell r="H128">
            <v>26153</v>
          </cell>
          <cell r="I128">
            <v>23537</v>
          </cell>
          <cell r="J128">
            <v>14836</v>
          </cell>
          <cell r="K128">
            <v>24902</v>
          </cell>
          <cell r="L128">
            <v>24281</v>
          </cell>
          <cell r="M128">
            <v>26830</v>
          </cell>
          <cell r="N128">
            <v>29400</v>
          </cell>
          <cell r="O128">
            <v>29519</v>
          </cell>
          <cell r="P128">
            <v>35957</v>
          </cell>
          <cell r="Q128">
            <v>39660.439574562566</v>
          </cell>
          <cell r="R128">
            <v>43736.847641542176</v>
          </cell>
          <cell r="S128">
            <v>48302.823149572265</v>
          </cell>
          <cell r="T128">
            <v>54631.136217620209</v>
          </cell>
          <cell r="U128">
            <v>60653.299167649166</v>
          </cell>
        </row>
        <row r="129">
          <cell r="D129">
            <v>9708</v>
          </cell>
          <cell r="E129">
            <v>8976</v>
          </cell>
          <cell r="F129">
            <v>10940</v>
          </cell>
          <cell r="G129">
            <v>10461</v>
          </cell>
          <cell r="H129">
            <v>11464</v>
          </cell>
          <cell r="I129">
            <v>11811</v>
          </cell>
          <cell r="J129">
            <v>13943</v>
          </cell>
          <cell r="K129">
            <v>16545</v>
          </cell>
          <cell r="L129">
            <v>22259</v>
          </cell>
          <cell r="M129">
            <v>26891</v>
          </cell>
          <cell r="N129">
            <v>35600</v>
          </cell>
          <cell r="O129">
            <v>34040</v>
          </cell>
          <cell r="P129">
            <v>52449</v>
          </cell>
          <cell r="Q129">
            <v>64980.807526228607</v>
          </cell>
          <cell r="R129">
            <v>81021.313256405221</v>
          </cell>
          <cell r="S129">
            <v>99514.55340933321</v>
          </cell>
          <cell r="T129">
            <v>130125.03523136422</v>
          </cell>
          <cell r="U129">
            <v>163311.50160920317</v>
          </cell>
        </row>
        <row r="130">
          <cell r="D130">
            <v>1842868</v>
          </cell>
          <cell r="E130">
            <v>2024238</v>
          </cell>
          <cell r="F130">
            <v>2016340</v>
          </cell>
          <cell r="G130">
            <v>2256093</v>
          </cell>
          <cell r="H130">
            <v>2199944</v>
          </cell>
          <cell r="I130">
            <v>2372693</v>
          </cell>
          <cell r="J130">
            <v>2607960</v>
          </cell>
          <cell r="K130">
            <v>2707867</v>
          </cell>
          <cell r="L130">
            <v>2864194</v>
          </cell>
          <cell r="M130">
            <v>3383306</v>
          </cell>
          <cell r="N130">
            <v>3613600</v>
          </cell>
          <cell r="O130">
            <v>3828821</v>
          </cell>
          <cell r="P130">
            <v>4613431</v>
          </cell>
          <cell r="Q130">
            <v>5221528.5072258692</v>
          </cell>
          <cell r="R130">
            <v>5828779.0570821948</v>
          </cell>
          <cell r="S130">
            <v>6598298.1316655595</v>
          </cell>
          <cell r="T130">
            <v>7603413.2410678165</v>
          </cell>
          <cell r="U130">
            <v>8645962.4201267418</v>
          </cell>
        </row>
        <row r="131">
          <cell r="D131">
            <v>922106</v>
          </cell>
          <cell r="E131">
            <v>1009909</v>
          </cell>
          <cell r="F131">
            <v>1046115</v>
          </cell>
          <cell r="G131">
            <v>1177541</v>
          </cell>
          <cell r="H131">
            <v>1124859</v>
          </cell>
          <cell r="I131">
            <v>1185089</v>
          </cell>
          <cell r="J131">
            <v>1271769</v>
          </cell>
          <cell r="K131">
            <v>1272029</v>
          </cell>
          <cell r="L131">
            <v>1346070</v>
          </cell>
          <cell r="M131">
            <v>1407677</v>
          </cell>
          <cell r="N131">
            <v>1583700</v>
          </cell>
          <cell r="O131">
            <v>1647009</v>
          </cell>
          <cell r="P131">
            <v>1788980</v>
          </cell>
          <cell r="Q131">
            <v>1920821.5711995522</v>
          </cell>
          <cell r="R131">
            <v>2076016.9842873455</v>
          </cell>
          <cell r="S131">
            <v>2221367.4234698112</v>
          </cell>
          <cell r="T131">
            <v>2393875.1978621823</v>
          </cell>
          <cell r="U131">
            <v>2574693.3430315093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ité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ité"/>
      <sheetName val="Décomp CE"/>
      <sheetName val="Bois-énergie"/>
      <sheetName val="prod pétr"/>
      <sheetName val="pp blancs"/>
      <sheetName val="pp usind"/>
      <sheetName val="prixpp"/>
      <sheetName val="cec"/>
      <sheetName val="cte"/>
      <sheetName val="PIB&amp;POP"/>
      <sheetName val="PIBSECT"/>
      <sheetName val="Production"/>
      <sheetName val="intensélec"/>
      <sheetName val="Intenselecsect"/>
      <sheetName val="intenspp"/>
      <sheetName val="intensEC"/>
      <sheetName val="intensbio"/>
      <sheetName val="intensglob"/>
      <sheetName val="factConv"/>
      <sheetName val="Décomp_CE"/>
      <sheetName val="prod_pétr"/>
      <sheetName val="pp_blancs"/>
      <sheetName val="pp_usind"/>
      <sheetName val="Recon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eses"/>
      <sheetName val="BE"/>
      <sheetName val="Moteur central"/>
      <sheetName val="Sortie TaBEN"/>
      <sheetName val="PIB courant"/>
      <sheetName val="PIB constant"/>
      <sheetName val="Equil emp-res"/>
      <sheetName val="Epar-Inv"/>
      <sheetName val="TOFE Rec-dép"/>
      <sheetName val="TOFE Fin"/>
      <sheetName val="bal des paie"/>
      <sheetName val="monnaie"/>
    </sheetNames>
    <sheetDataSet>
      <sheetData sheetId="0"/>
      <sheetData sheetId="1" refreshError="1">
        <row r="3">
          <cell r="E3" t="str">
            <v>d</v>
          </cell>
          <cell r="F3" t="str">
            <v>e</v>
          </cell>
          <cell r="G3" t="str">
            <v>e</v>
          </cell>
          <cell r="H3" t="str">
            <v>p</v>
          </cell>
          <cell r="I3" t="str">
            <v>p</v>
          </cell>
          <cell r="J3" t="str">
            <v>p</v>
          </cell>
          <cell r="K3" t="str">
            <v>p</v>
          </cell>
          <cell r="L3" t="str">
            <v>p</v>
          </cell>
          <cell r="M3" t="str">
            <v>p</v>
          </cell>
          <cell r="N3" t="str">
            <v>document provisoire</v>
          </cell>
        </row>
        <row r="5">
          <cell r="G5" t="str">
            <v>1999</v>
          </cell>
          <cell r="H5" t="str">
            <v>2000</v>
          </cell>
          <cell r="I5" t="str">
            <v>2001</v>
          </cell>
          <cell r="J5" t="str">
            <v>2002</v>
          </cell>
        </row>
        <row r="6">
          <cell r="G6">
            <v>36341.25</v>
          </cell>
          <cell r="H6">
            <v>36706.5</v>
          </cell>
          <cell r="I6">
            <v>37071.75</v>
          </cell>
          <cell r="J6">
            <v>37437</v>
          </cell>
        </row>
        <row r="7">
          <cell r="G7" t="str">
            <v>est.</v>
          </cell>
          <cell r="H7" t="str">
            <v>proj.</v>
          </cell>
          <cell r="I7" t="str">
            <v>proj.</v>
          </cell>
          <cell r="J7" t="str">
            <v>proj.</v>
          </cell>
        </row>
        <row r="8">
          <cell r="E8">
            <v>583.66999999999996</v>
          </cell>
          <cell r="F8">
            <v>590</v>
          </cell>
          <cell r="G8">
            <v>615</v>
          </cell>
          <cell r="H8">
            <v>625</v>
          </cell>
          <cell r="I8">
            <v>600</v>
          </cell>
          <cell r="J8">
            <v>590</v>
          </cell>
        </row>
        <row r="11">
          <cell r="E11">
            <v>1997</v>
          </cell>
          <cell r="F11">
            <v>1998</v>
          </cell>
          <cell r="G11">
            <v>1999</v>
          </cell>
          <cell r="H11">
            <v>2000</v>
          </cell>
          <cell r="I11">
            <v>2001</v>
          </cell>
          <cell r="J11">
            <v>2002</v>
          </cell>
        </row>
        <row r="12">
          <cell r="E12">
            <v>3.2000000000000001E-2</v>
          </cell>
          <cell r="F12">
            <v>3.2000000000000001E-2</v>
          </cell>
          <cell r="G12">
            <v>3.2000000000000001E-2</v>
          </cell>
          <cell r="H12">
            <v>3.4000000000000002E-2</v>
          </cell>
          <cell r="I12">
            <v>3.4000000000000002E-2</v>
          </cell>
          <cell r="J12">
            <v>3.4000000000000002E-2</v>
          </cell>
        </row>
        <row r="15">
          <cell r="G15">
            <v>256.80500000000001</v>
          </cell>
          <cell r="H15">
            <v>290.94409643166819</v>
          </cell>
          <cell r="I15">
            <v>320.35538613700601</v>
          </cell>
          <cell r="J15">
            <v>362.91501057075936</v>
          </cell>
        </row>
        <row r="16">
          <cell r="E16">
            <v>0.10635623229461766</v>
          </cell>
          <cell r="F16">
            <v>8.8744298814153133E-2</v>
          </cell>
          <cell r="G16">
            <v>8.3998770291169755E-2</v>
          </cell>
          <cell r="H16">
            <v>7.203279395929596E-2</v>
          </cell>
          <cell r="I16">
            <v>7.765244670700211E-2</v>
          </cell>
          <cell r="J16">
            <v>8.3441299180999406E-2</v>
          </cell>
        </row>
        <row r="17">
          <cell r="F17">
            <v>7.7124146955185102E-2</v>
          </cell>
          <cell r="G17">
            <v>6.4627993657396798E-2</v>
          </cell>
          <cell r="H17">
            <v>5.4524556886806463E-2</v>
          </cell>
          <cell r="I17">
            <v>6.2601491913838903E-2</v>
          </cell>
          <cell r="J17">
            <v>7.0947565115819566E-2</v>
          </cell>
        </row>
        <row r="18">
          <cell r="G18">
            <v>224.86</v>
          </cell>
          <cell r="H18">
            <v>270.20409556662588</v>
          </cell>
          <cell r="I18">
            <v>305.53993135902692</v>
          </cell>
          <cell r="J18">
            <v>366.79537972918189</v>
          </cell>
        </row>
        <row r="19">
          <cell r="F19">
            <v>1.0788126783542795E-2</v>
          </cell>
          <cell r="G19">
            <v>1.8194878163241723E-2</v>
          </cell>
          <cell r="H19">
            <v>1.6602967620003017E-2</v>
          </cell>
          <cell r="I19">
            <v>1.4164251516394E-2</v>
          </cell>
          <cell r="J19">
            <v>1.166605581089164E-2</v>
          </cell>
        </row>
        <row r="21">
          <cell r="E21">
            <v>215844.55958549227</v>
          </cell>
          <cell r="F21">
            <v>227712.7264329035</v>
          </cell>
          <cell r="G21">
            <v>239186.3521636792</v>
          </cell>
          <cell r="H21">
            <v>247984.15221176119</v>
          </cell>
          <cell r="I21">
            <v>258453.31564368095</v>
          </cell>
          <cell r="J21">
            <v>270811.40819983225</v>
          </cell>
        </row>
        <row r="22">
          <cell r="E22">
            <v>369.80581421949438</v>
          </cell>
          <cell r="F22">
            <v>385.95377361509071</v>
          </cell>
          <cell r="G22">
            <v>388.92089782712065</v>
          </cell>
          <cell r="H22">
            <v>396.77464353881794</v>
          </cell>
          <cell r="I22">
            <v>430.75552607280156</v>
          </cell>
          <cell r="J22">
            <v>459.00238677937671</v>
          </cell>
        </row>
        <row r="23">
          <cell r="G23">
            <v>860.68567796610171</v>
          </cell>
          <cell r="H23">
            <v>912.39020537048543</v>
          </cell>
          <cell r="I23">
            <v>912.14701600662113</v>
          </cell>
          <cell r="J23">
            <v>941.96621230005178</v>
          </cell>
        </row>
        <row r="24">
          <cell r="E24">
            <v>0.05</v>
          </cell>
          <cell r="F24">
            <v>3.5373898587797825E-2</v>
          </cell>
          <cell r="G24">
            <v>1.3443733610933872E-2</v>
          </cell>
          <cell r="H24">
            <v>2.562033241060524E-2</v>
          </cell>
          <cell r="I24">
            <v>1.673025999834965E-2</v>
          </cell>
          <cell r="J24">
            <v>8.2878415215676959E-3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E26">
            <v>223.10000000000002</v>
          </cell>
          <cell r="F26">
            <v>243.71007110488532</v>
          </cell>
          <cell r="G26">
            <v>248.98234747106989</v>
          </cell>
          <cell r="H26">
            <v>285.13184788960166</v>
          </cell>
          <cell r="I26">
            <v>332.34949428175571</v>
          </cell>
          <cell r="J26">
            <v>389.57392554752823</v>
          </cell>
        </row>
        <row r="27">
          <cell r="E27">
            <v>139.4</v>
          </cell>
          <cell r="F27">
            <v>164.49199999999999</v>
          </cell>
          <cell r="G27">
            <v>181.270184</v>
          </cell>
          <cell r="H27">
            <v>204.83530791999999</v>
          </cell>
          <cell r="I27">
            <v>228.39136833079999</v>
          </cell>
          <cell r="J27">
            <v>258.08224621380396</v>
          </cell>
        </row>
        <row r="28">
          <cell r="E28">
            <v>83.7</v>
          </cell>
          <cell r="F28">
            <v>79.218071104885325</v>
          </cell>
          <cell r="G28">
            <v>67.712163471069886</v>
          </cell>
          <cell r="H28">
            <v>80.296539969601682</v>
          </cell>
          <cell r="I28">
            <v>103.95812595095573</v>
          </cell>
          <cell r="J28">
            <v>131.49167933372425</v>
          </cell>
        </row>
        <row r="30">
          <cell r="E30">
            <v>0.17851713156336516</v>
          </cell>
          <cell r="F30">
            <v>0.17782087981213063</v>
          </cell>
          <cell r="G30">
            <v>0.18075311538096467</v>
          </cell>
          <cell r="H30">
            <v>0.19876414169762607</v>
          </cell>
          <cell r="I30">
            <v>0.21492598246933209</v>
          </cell>
          <cell r="J30">
            <v>0.23437979213724719</v>
          </cell>
        </row>
        <row r="32">
          <cell r="G32">
            <v>97.628</v>
          </cell>
          <cell r="H32">
            <v>105.23320000000001</v>
          </cell>
          <cell r="I32">
            <v>106.06862640000001</v>
          </cell>
          <cell r="J32">
            <v>107.69415776480004</v>
          </cell>
        </row>
        <row r="33">
          <cell r="G33">
            <v>-10.972</v>
          </cell>
          <cell r="H33">
            <v>-12.271999999999998</v>
          </cell>
          <cell r="I33">
            <v>-21.071999999999999</v>
          </cell>
          <cell r="J33">
            <v>-29.872</v>
          </cell>
        </row>
        <row r="34">
          <cell r="E34">
            <v>219.37700000000001</v>
          </cell>
          <cell r="F34">
            <v>247.68700000000004</v>
          </cell>
          <cell r="G34">
            <v>256.80500000000001</v>
          </cell>
          <cell r="H34">
            <v>290.94409643166819</v>
          </cell>
          <cell r="I34">
            <v>320.35538613700601</v>
          </cell>
          <cell r="J34">
            <v>362.91501057075936</v>
          </cell>
        </row>
        <row r="35">
          <cell r="E35">
            <v>182.417</v>
          </cell>
          <cell r="F35">
            <v>211.25700000000003</v>
          </cell>
          <cell r="G35">
            <v>236.09500000000003</v>
          </cell>
          <cell r="H35">
            <v>268.16309643166818</v>
          </cell>
          <cell r="I35">
            <v>295.29628613700601</v>
          </cell>
          <cell r="J35">
            <v>335.35000057075933</v>
          </cell>
        </row>
        <row r="36">
          <cell r="G36">
            <v>303.99509999999998</v>
          </cell>
          <cell r="H36">
            <v>299.47423817033166</v>
          </cell>
          <cell r="I36">
            <v>265.79764912984103</v>
          </cell>
          <cell r="J36">
            <v>198.81629908300727</v>
          </cell>
        </row>
        <row r="37">
          <cell r="E37">
            <v>231.30100000000002</v>
          </cell>
          <cell r="F37">
            <v>223.876</v>
          </cell>
          <cell r="G37">
            <v>224.86</v>
          </cell>
          <cell r="H37">
            <v>270.20409556662588</v>
          </cell>
          <cell r="I37">
            <v>305.53993135902692</v>
          </cell>
          <cell r="J37">
            <v>366.79537972918189</v>
          </cell>
        </row>
        <row r="38">
          <cell r="E38">
            <v>150.75000000000003</v>
          </cell>
          <cell r="F38">
            <v>146.43600000000001</v>
          </cell>
          <cell r="G38">
            <v>159.69</v>
          </cell>
          <cell r="H38">
            <v>188.48509556662592</v>
          </cell>
          <cell r="I38">
            <v>198.89883135902693</v>
          </cell>
          <cell r="J38">
            <v>230.18576972918183</v>
          </cell>
        </row>
        <row r="39">
          <cell r="E39">
            <v>7.343</v>
          </cell>
          <cell r="F39">
            <v>11.881</v>
          </cell>
          <cell r="G39">
            <v>14.96</v>
          </cell>
          <cell r="H39">
            <v>22.8</v>
          </cell>
          <cell r="I39">
            <v>33.287999999999997</v>
          </cell>
          <cell r="J39">
            <v>49.931999999999995</v>
          </cell>
        </row>
        <row r="40">
          <cell r="E40">
            <v>4.6089630931458701E-2</v>
          </cell>
          <cell r="F40">
            <v>6.5063223206120235E-2</v>
          </cell>
          <cell r="G40">
            <v>7.4734607218683649E-2</v>
          </cell>
          <cell r="H40">
            <v>0.10164741189515308</v>
          </cell>
          <cell r="I40">
            <v>0.13769865684936974</v>
          </cell>
          <cell r="J40">
            <v>0.1849578444102013</v>
          </cell>
        </row>
        <row r="41">
          <cell r="G41">
            <v>339.87554203876482</v>
          </cell>
          <cell r="H41">
            <v>367.17706563590684</v>
          </cell>
          <cell r="I41">
            <v>396.98788648191771</v>
          </cell>
          <cell r="J41">
            <v>437.3592026987493</v>
          </cell>
        </row>
        <row r="42">
          <cell r="E42">
            <v>62</v>
          </cell>
          <cell r="F42">
            <v>64.569999999999993</v>
          </cell>
          <cell r="G42">
            <v>66.180000000000007</v>
          </cell>
          <cell r="H42">
            <v>71.954431167192439</v>
          </cell>
          <cell r="I42">
            <v>71.574122334384867</v>
          </cell>
          <cell r="J42">
            <v>71.254328243053635</v>
          </cell>
        </row>
        <row r="43">
          <cell r="E43">
            <v>0.3891539040923927</v>
          </cell>
          <cell r="F43">
            <v>0.3536009024845706</v>
          </cell>
          <cell r="G43">
            <v>0.33061071562382915</v>
          </cell>
          <cell r="H43">
            <v>0.32078867116373028</v>
          </cell>
          <cell r="I43">
            <v>0.29607247388299907</v>
          </cell>
          <cell r="J43">
            <v>0.26393989739509988</v>
          </cell>
        </row>
        <row r="45">
          <cell r="E45">
            <v>24.323999999999973</v>
          </cell>
          <cell r="F45">
            <v>52.940000000000026</v>
          </cell>
          <cell r="G45">
            <v>61.445000000000029</v>
          </cell>
          <cell r="H45">
            <v>56.878000865042267</v>
          </cell>
          <cell r="I45">
            <v>63.109454777979082</v>
          </cell>
          <cell r="J45">
            <v>55.232230841577511</v>
          </cell>
        </row>
        <row r="46">
          <cell r="E46">
            <v>1.9463248355657953E-2</v>
          </cell>
          <cell r="F46">
            <v>3.890795211955371E-2</v>
          </cell>
          <cell r="G46">
            <v>4.1659321735121449E-2</v>
          </cell>
          <cell r="H46">
            <v>3.5971777540137612E-2</v>
          </cell>
          <cell r="I46">
            <v>3.7036785331886889E-2</v>
          </cell>
          <cell r="J46">
            <v>2.9917552013907476E-2</v>
          </cell>
        </row>
        <row r="48">
          <cell r="E48">
            <v>0.17553811192728086</v>
          </cell>
          <cell r="F48">
            <v>0.18203615293985448</v>
          </cell>
          <cell r="G48">
            <v>0.17411216727460099</v>
          </cell>
          <cell r="H48">
            <v>0.18400394096636885</v>
          </cell>
          <cell r="I48">
            <v>0.18800564365531616</v>
          </cell>
          <cell r="J48">
            <v>0.19657957934962106</v>
          </cell>
        </row>
        <row r="49">
          <cell r="E49">
            <v>0.14596396050378477</v>
          </cell>
          <cell r="F49">
            <v>0.15526213148697687</v>
          </cell>
          <cell r="G49">
            <v>0.16007091813904295</v>
          </cell>
          <cell r="H49">
            <v>0.16959638353328876</v>
          </cell>
          <cell r="I49">
            <v>0.17329931303377302</v>
          </cell>
          <cell r="J49">
            <v>0.18164848553223931</v>
          </cell>
        </row>
        <row r="50">
          <cell r="E50">
            <v>159.32</v>
          </cell>
          <cell r="F50">
            <v>182.60700000000003</v>
          </cell>
          <cell r="G50">
            <v>200.17500000000001</v>
          </cell>
          <cell r="H50">
            <v>224.30477643166813</v>
          </cell>
          <cell r="I50">
            <v>241.74527741700592</v>
          </cell>
          <cell r="J50">
            <v>269.96421892363924</v>
          </cell>
        </row>
        <row r="51">
          <cell r="E51">
            <v>0.12748251636340355</v>
          </cell>
          <cell r="F51">
            <v>0.1342059768170635</v>
          </cell>
          <cell r="G51">
            <v>0.13571738511397075</v>
          </cell>
          <cell r="H51">
            <v>0.14185873969331661</v>
          </cell>
          <cell r="I51">
            <v>0.1418720535011696</v>
          </cell>
          <cell r="J51">
            <v>0.14623107628421117</v>
          </cell>
        </row>
        <row r="52">
          <cell r="G52">
            <v>3.2000000000000001E-2</v>
          </cell>
          <cell r="H52">
            <v>3.4000000000000002E-2</v>
          </cell>
          <cell r="I52">
            <v>3.4000000000000002E-2</v>
          </cell>
          <cell r="J52">
            <v>3.4000000000000002E-2</v>
          </cell>
        </row>
        <row r="53">
          <cell r="E53">
            <v>0.18507929649367066</v>
          </cell>
          <cell r="F53">
            <v>0.1645363938178542</v>
          </cell>
          <cell r="G53">
            <v>0.1524536591318969</v>
          </cell>
          <cell r="H53">
            <v>0.1708871878113174</v>
          </cell>
          <cell r="I53">
            <v>0.179310958839282</v>
          </cell>
          <cell r="J53">
            <v>0.19868145255592431</v>
          </cell>
        </row>
        <row r="55">
          <cell r="E55">
            <v>-3.9115335989885903E-2</v>
          </cell>
          <cell r="F55">
            <v>-9.27426233087735E-3</v>
          </cell>
          <cell r="G55">
            <v>7.6172590071460627E-3</v>
          </cell>
          <cell r="H55">
            <v>-1.2908042780286136E-3</v>
          </cell>
          <cell r="I55">
            <v>-6.0116458055089941E-3</v>
          </cell>
          <cell r="J55">
            <v>-1.7032967023685026E-2</v>
          </cell>
        </row>
        <row r="56">
          <cell r="E56">
            <v>-6.8689487413381989E-2</v>
          </cell>
          <cell r="F56">
            <v>-3.6048283783754964E-2</v>
          </cell>
          <cell r="G56">
            <v>-6.4239901284119921E-3</v>
          </cell>
          <cell r="H56">
            <v>-1.5698361711108694E-2</v>
          </cell>
          <cell r="I56">
            <v>-2.071797642705215E-2</v>
          </cell>
          <cell r="J56">
            <v>-3.1964060841066781E-2</v>
          </cell>
        </row>
        <row r="57">
          <cell r="G57">
            <v>6.4627993657396798E-2</v>
          </cell>
          <cell r="H57">
            <v>5.4524556886806463E-2</v>
          </cell>
          <cell r="I57">
            <v>6.2601491913838903E-2</v>
          </cell>
          <cell r="J57">
            <v>7.0947565115819566E-2</v>
          </cell>
        </row>
        <row r="59">
          <cell r="E59">
            <v>-5.0717749291852708E-2</v>
          </cell>
          <cell r="F59">
            <v>-2.4414115252350831E-2</v>
          </cell>
          <cell r="G59">
            <v>-7.8986263848020058E-4</v>
          </cell>
          <cell r="H59">
            <v>-6.982741282449874E-3</v>
          </cell>
          <cell r="I59">
            <v>-1.1293438670930673E-2</v>
          </cell>
          <cell r="J59">
            <v>-2.1907982282392924E-2</v>
          </cell>
        </row>
        <row r="61">
          <cell r="E61">
            <v>748.22</v>
          </cell>
          <cell r="F61">
            <v>771.5</v>
          </cell>
          <cell r="G61">
            <v>860.68567796610171</v>
          </cell>
          <cell r="H61">
            <v>912.39020537048543</v>
          </cell>
          <cell r="I61">
            <v>912.14701600662113</v>
          </cell>
          <cell r="J61">
            <v>941.96621230005178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E63">
            <v>748.22</v>
          </cell>
          <cell r="F63">
            <v>771.5</v>
          </cell>
          <cell r="G63">
            <v>860.68567796610171</v>
          </cell>
          <cell r="H63">
            <v>912.39020537048543</v>
          </cell>
          <cell r="I63">
            <v>912.14701600662113</v>
          </cell>
          <cell r="J63">
            <v>941.96621230005178</v>
          </cell>
        </row>
        <row r="64">
          <cell r="G64">
            <v>1.3443733610933872E-2</v>
          </cell>
          <cell r="H64">
            <v>2.562033241060524E-2</v>
          </cell>
          <cell r="I64">
            <v>1.673025999834965E-2</v>
          </cell>
          <cell r="J64">
            <v>8.2878415215676959E-3</v>
          </cell>
        </row>
        <row r="65">
          <cell r="E65">
            <v>0.59870052971017962</v>
          </cell>
          <cell r="F65">
            <v>0.56700954023867911</v>
          </cell>
          <cell r="G65">
            <v>0.58353945107333294</v>
          </cell>
          <cell r="H65">
            <v>0.5770297302688645</v>
          </cell>
          <cell r="I65">
            <v>0.53530795570660528</v>
          </cell>
          <cell r="J65">
            <v>0.51023329535000383</v>
          </cell>
        </row>
        <row r="66">
          <cell r="G66">
            <v>248.98234747106989</v>
          </cell>
          <cell r="H66">
            <v>285.13184788960166</v>
          </cell>
          <cell r="I66">
            <v>332.34949428175571</v>
          </cell>
          <cell r="J66">
            <v>389.57392554752823</v>
          </cell>
        </row>
        <row r="67">
          <cell r="E67">
            <v>0.59870052971017962</v>
          </cell>
          <cell r="F67">
            <v>0.56700954023867911</v>
          </cell>
          <cell r="G67">
            <v>0.58353945107333294</v>
          </cell>
          <cell r="H67">
            <v>0.5770297302688645</v>
          </cell>
          <cell r="I67">
            <v>0.53530795570660528</v>
          </cell>
          <cell r="J67">
            <v>0.51023329535000383</v>
          </cell>
        </row>
        <row r="68">
          <cell r="G68">
            <v>67.712163471069886</v>
          </cell>
          <cell r="H68">
            <v>80.296539969601682</v>
          </cell>
          <cell r="I68">
            <v>103.95812595095573</v>
          </cell>
          <cell r="J68">
            <v>131.49167933372425</v>
          </cell>
        </row>
        <row r="70">
          <cell r="G70">
            <v>0.18075311538096467</v>
          </cell>
          <cell r="H70">
            <v>0.19876414169762607</v>
          </cell>
          <cell r="I70">
            <v>0.21492598246933209</v>
          </cell>
          <cell r="J70">
            <v>0.23437979213724719</v>
          </cell>
        </row>
        <row r="72">
          <cell r="E72">
            <v>206.82429999999999</v>
          </cell>
          <cell r="F72">
            <v>196.17180000000002</v>
          </cell>
          <cell r="G72">
            <v>226.3</v>
          </cell>
          <cell r="H72">
            <v>214.17393817033167</v>
          </cell>
          <cell r="I72">
            <v>179.66192272984105</v>
          </cell>
          <cell r="J72">
            <v>111.05504131820724</v>
          </cell>
        </row>
        <row r="74">
          <cell r="E74">
            <v>92.204099999999997</v>
          </cell>
          <cell r="F74">
            <v>97.85799999999999</v>
          </cell>
          <cell r="G74">
            <v>97.628</v>
          </cell>
          <cell r="H74">
            <v>105.23320000000001</v>
          </cell>
          <cell r="I74">
            <v>106.06862640000001</v>
          </cell>
          <cell r="J74">
            <v>107.69415776480004</v>
          </cell>
        </row>
        <row r="75">
          <cell r="E75">
            <v>20.5091</v>
          </cell>
          <cell r="F75">
            <v>-2.2719999999999998</v>
          </cell>
          <cell r="G75">
            <v>-10.972</v>
          </cell>
          <cell r="H75">
            <v>-12.271999999999998</v>
          </cell>
          <cell r="I75">
            <v>-21.071999999999999</v>
          </cell>
          <cell r="J75">
            <v>-29.872</v>
          </cell>
        </row>
        <row r="76">
          <cell r="E76">
            <v>71.694999999999993</v>
          </cell>
          <cell r="F76">
            <v>100.13</v>
          </cell>
          <cell r="G76">
            <v>108.6</v>
          </cell>
          <cell r="H76">
            <v>117.5052</v>
          </cell>
          <cell r="I76">
            <v>127.14062640000002</v>
          </cell>
          <cell r="J76">
            <v>137.56615776480004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E78">
            <v>295.32400000000001</v>
          </cell>
          <cell r="F78">
            <v>280.24860000000001</v>
          </cell>
          <cell r="G78">
            <v>303.99509999999998</v>
          </cell>
          <cell r="H78">
            <v>299.47423817033166</v>
          </cell>
          <cell r="I78">
            <v>265.79764912984103</v>
          </cell>
          <cell r="J78">
            <v>198.81629908300727</v>
          </cell>
        </row>
        <row r="79">
          <cell r="G79">
            <v>-6.9952365546235656E-2</v>
          </cell>
          <cell r="H79">
            <v>-5.7040789709323636E-2</v>
          </cell>
          <cell r="I79">
            <v>-6.3110298936413983E-2</v>
          </cell>
          <cell r="J79">
            <v>-7.2971469596077462E-2</v>
          </cell>
        </row>
        <row r="80">
          <cell r="E80">
            <v>0.23630835213724452</v>
          </cell>
          <cell r="F80">
            <v>0.205967115798488</v>
          </cell>
          <cell r="G80">
            <v>0.2061067568850258</v>
          </cell>
          <cell r="H80">
            <v>0.18939872201250851</v>
          </cell>
          <cell r="I80">
            <v>0.15598756964664992</v>
          </cell>
          <cell r="J80">
            <v>0.10769249907883259</v>
          </cell>
        </row>
        <row r="81">
          <cell r="E81">
            <v>4.2317590172149915</v>
          </cell>
          <cell r="F81">
            <v>4.8551439686050166</v>
          </cell>
          <cell r="G81">
            <v>4.8518545200235144</v>
          </cell>
          <cell r="H81">
            <v>5.2798666716133216</v>
          </cell>
          <cell r="I81">
            <v>6.4107672314226392</v>
          </cell>
          <cell r="J81">
            <v>9.2856977835381507</v>
          </cell>
        </row>
        <row r="82">
          <cell r="G82">
            <v>-5.9985858434081933E-2</v>
          </cell>
          <cell r="H82">
            <v>-6.4333223182163196E-2</v>
          </cell>
          <cell r="I82">
            <v>-7.5539950586887478E-2</v>
          </cell>
          <cell r="J82">
            <v>-9.0123483178130293E-2</v>
          </cell>
        </row>
        <row r="83">
          <cell r="G83">
            <v>2.0085195303697217E-2</v>
          </cell>
          <cell r="H83">
            <v>-7.6689755606877165E-3</v>
          </cell>
          <cell r="I83">
            <v>-2.0253924102767353E-2</v>
          </cell>
          <cell r="J83">
            <v>-3.7162177081564218E-2</v>
          </cell>
        </row>
        <row r="85">
          <cell r="E85">
            <v>237.6</v>
          </cell>
          <cell r="F85">
            <v>231.4</v>
          </cell>
          <cell r="G85">
            <v>236.7</v>
          </cell>
          <cell r="H85">
            <v>276.98507879818351</v>
          </cell>
          <cell r="I85">
            <v>289.45002861812219</v>
          </cell>
          <cell r="J85">
            <v>302.64306510479963</v>
          </cell>
        </row>
        <row r="86">
          <cell r="E86">
            <v>0.19011954486533195</v>
          </cell>
          <cell r="F86">
            <v>0.17006611485577491</v>
          </cell>
          <cell r="G86">
            <v>0.16048110431610776</v>
          </cell>
          <cell r="H86">
            <v>0.1751757355204355</v>
          </cell>
          <cell r="I86">
            <v>0.16986834400569986</v>
          </cell>
          <cell r="J86">
            <v>0.16393217336978064</v>
          </cell>
        </row>
        <row r="88">
          <cell r="E88">
            <v>-308.5</v>
          </cell>
          <cell r="F88">
            <v>-326.5872170147307</v>
          </cell>
          <cell r="G88">
            <v>-339.87554203876482</v>
          </cell>
          <cell r="H88">
            <v>-367.17706563590684</v>
          </cell>
          <cell r="I88">
            <v>-396.98788648191771</v>
          </cell>
          <cell r="J88">
            <v>-437.3592026987493</v>
          </cell>
        </row>
        <row r="89">
          <cell r="E89">
            <v>-0.24685134507977655</v>
          </cell>
          <cell r="F89">
            <v>-0.24002341901147398</v>
          </cell>
          <cell r="G89">
            <v>-0.23043346986234342</v>
          </cell>
          <cell r="H89">
            <v>-0.23221652522975911</v>
          </cell>
          <cell r="I89">
            <v>-0.23297864294211384</v>
          </cell>
          <cell r="J89">
            <v>-0.23690364296585809</v>
          </cell>
        </row>
        <row r="90">
          <cell r="G90" t="str">
            <v>est.</v>
          </cell>
          <cell r="H90" t="str">
            <v>proj.</v>
          </cell>
          <cell r="I90" t="str">
            <v>proj.</v>
          </cell>
          <cell r="J90" t="str">
            <v>proj.</v>
          </cell>
        </row>
        <row r="93">
          <cell r="E93">
            <v>-5.67318002144446E-2</v>
          </cell>
          <cell r="F93">
            <v>-6.9957304155699063E-2</v>
          </cell>
          <cell r="G93">
            <v>-6.9952365546235656E-2</v>
          </cell>
          <cell r="H93">
            <v>-5.7040789709323636E-2</v>
          </cell>
          <cell r="I93">
            <v>-6.3110298936413983E-2</v>
          </cell>
          <cell r="J93">
            <v>-7.2971469596077462E-2</v>
          </cell>
        </row>
        <row r="94">
          <cell r="G94">
            <v>0.2061067568850258</v>
          </cell>
          <cell r="H94">
            <v>0.18939872201250851</v>
          </cell>
          <cell r="I94">
            <v>0.15598756964664992</v>
          </cell>
          <cell r="J94">
            <v>0.10769249907883259</v>
          </cell>
        </row>
        <row r="95">
          <cell r="E95">
            <v>-5.1338678445116609E-2</v>
          </cell>
          <cell r="F95">
            <v>-6.0990983493467175E-2</v>
          </cell>
          <cell r="G95">
            <v>-4.974815384948867E-2</v>
          </cell>
          <cell r="H95">
            <v>-5.3230151398872119E-2</v>
          </cell>
          <cell r="I95">
            <v>-6.4206631575790013E-2</v>
          </cell>
          <cell r="J95">
            <v>-7.8616952162900322E-2</v>
          </cell>
        </row>
        <row r="96">
          <cell r="E96">
            <v>-6.2701041816697889E-2</v>
          </cell>
          <cell r="F96">
            <v>-6.7091021321051145E-2</v>
          </cell>
          <cell r="G96">
            <v>-5.9985858434081933E-2</v>
          </cell>
          <cell r="H96">
            <v>-6.4333223182163196E-2</v>
          </cell>
          <cell r="I96">
            <v>-7.5539950586887478E-2</v>
          </cell>
          <cell r="J96">
            <v>-9.0123483178130293E-2</v>
          </cell>
        </row>
        <row r="97">
          <cell r="E97">
            <v>7.3567301998815712E-2</v>
          </cell>
          <cell r="F97">
            <v>-8.6408998237314481E-3</v>
          </cell>
          <cell r="G97">
            <v>2.0085195303697217E-2</v>
          </cell>
          <cell r="H97">
            <v>-7.6689755606877165E-3</v>
          </cell>
          <cell r="I97">
            <v>-2.0253924102767353E-2</v>
          </cell>
          <cell r="J97">
            <v>-3.7162177081564218E-2</v>
          </cell>
        </row>
        <row r="100">
          <cell r="G100">
            <v>0.17411216727460099</v>
          </cell>
          <cell r="H100">
            <v>0.18400394096636885</v>
          </cell>
          <cell r="I100">
            <v>0.18800564365531616</v>
          </cell>
          <cell r="J100">
            <v>0.19657957934962106</v>
          </cell>
        </row>
        <row r="101">
          <cell r="E101">
            <v>0.12748251636340355</v>
          </cell>
          <cell r="F101">
            <v>0.1342059768170635</v>
          </cell>
          <cell r="G101">
            <v>0.13571738511397075</v>
          </cell>
          <cell r="H101">
            <v>0.14185873969331661</v>
          </cell>
          <cell r="I101">
            <v>0.1418720535011696</v>
          </cell>
          <cell r="J101">
            <v>0.14623107628421117</v>
          </cell>
        </row>
        <row r="102">
          <cell r="G102">
            <v>0.13571738511397075</v>
          </cell>
          <cell r="H102">
            <v>0.14185873969331661</v>
          </cell>
          <cell r="I102">
            <v>0.1418720535011696</v>
          </cell>
          <cell r="J102">
            <v>0.14623107628421117</v>
          </cell>
        </row>
        <row r="104">
          <cell r="E104">
            <v>4.9610318946340833E-2</v>
          </cell>
          <cell r="F104">
            <v>4.7455354521337013E-2</v>
          </cell>
          <cell r="G104">
            <v>4.4869621815124688E-2</v>
          </cell>
          <cell r="H104">
            <v>4.5506676599180569E-2</v>
          </cell>
          <cell r="I104">
            <v>4.2004409854952497E-2</v>
          </cell>
          <cell r="J104">
            <v>3.8596215270429723E-2</v>
          </cell>
        </row>
        <row r="105">
          <cell r="G105">
            <v>0.1524536591318969</v>
          </cell>
          <cell r="H105">
            <v>0.1708871878113174</v>
          </cell>
          <cell r="I105">
            <v>0.179310958839282</v>
          </cell>
          <cell r="J105">
            <v>0.19868145255592431</v>
          </cell>
        </row>
        <row r="106">
          <cell r="G106">
            <v>4.4869621815124688E-2</v>
          </cell>
          <cell r="H106">
            <v>4.5506676599180569E-2</v>
          </cell>
          <cell r="I106">
            <v>4.2004409854952497E-2</v>
          </cell>
          <cell r="J106">
            <v>3.8596215270429723E-2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10">
          <cell r="G110">
            <v>7.6172590071460627E-3</v>
          </cell>
          <cell r="H110">
            <v>-1.2908042780286136E-3</v>
          </cell>
          <cell r="I110">
            <v>-6.0116458055089941E-3</v>
          </cell>
          <cell r="J110">
            <v>-1.7032967023685026E-2</v>
          </cell>
        </row>
        <row r="111">
          <cell r="G111">
            <v>-6.4239901284119921E-3</v>
          </cell>
          <cell r="H111">
            <v>-1.5698361711108694E-2</v>
          </cell>
          <cell r="I111">
            <v>-2.071797642705215E-2</v>
          </cell>
          <cell r="J111">
            <v>-3.1964060841066781E-2</v>
          </cell>
        </row>
        <row r="113">
          <cell r="G113">
            <v>-7.8986263848020058E-4</v>
          </cell>
          <cell r="H113">
            <v>-6.982741282449874E-3</v>
          </cell>
          <cell r="I113">
            <v>-1.1293438670930673E-2</v>
          </cell>
          <cell r="J113">
            <v>-2.1907982282392924E-2</v>
          </cell>
        </row>
        <row r="115">
          <cell r="E115">
            <v>0.59870052971017962</v>
          </cell>
          <cell r="F115">
            <v>0.56700954023867911</v>
          </cell>
          <cell r="G115">
            <v>0.58353945107333294</v>
          </cell>
          <cell r="H115">
            <v>0.57702973026886439</v>
          </cell>
          <cell r="I115">
            <v>0.53530795570660505</v>
          </cell>
          <cell r="J115">
            <v>0.51023329535000383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2">
          <cell r="G122">
            <v>0.58353945107333294</v>
          </cell>
          <cell r="H122">
            <v>0.5770297302688645</v>
          </cell>
          <cell r="I122">
            <v>0.53530795570660528</v>
          </cell>
          <cell r="J122">
            <v>0.51023329535000383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G124">
            <v>0.58353945107333294</v>
          </cell>
          <cell r="H124">
            <v>0.5770297302688645</v>
          </cell>
          <cell r="I124">
            <v>0.53530795570660528</v>
          </cell>
          <cell r="J124">
            <v>0.51023329535000383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36">
          <cell r="F136" t="str">
            <v>Objectif</v>
          </cell>
          <cell r="G136">
            <v>36341.25</v>
          </cell>
          <cell r="H136">
            <v>36706.5</v>
          </cell>
          <cell r="I136">
            <v>37071.75</v>
          </cell>
          <cell r="J136">
            <v>37437</v>
          </cell>
        </row>
        <row r="137">
          <cell r="G137" t="str">
            <v>est.</v>
          </cell>
          <cell r="H137" t="str">
            <v>proj.</v>
          </cell>
          <cell r="I137" t="str">
            <v>proj.</v>
          </cell>
          <cell r="J137" t="str">
            <v>proj.</v>
          </cell>
        </row>
        <row r="141">
          <cell r="F141" t="str">
            <v>&gt; 0</v>
          </cell>
          <cell r="G141">
            <v>4.1659321735121449E-2</v>
          </cell>
          <cell r="H141">
            <v>3.5971777540137612E-2</v>
          </cell>
          <cell r="I141">
            <v>3.7036785331886889E-2</v>
          </cell>
          <cell r="J141">
            <v>2.9917552013907476E-2</v>
          </cell>
        </row>
        <row r="143">
          <cell r="F143" t="str">
            <v>&lt; 3 %</v>
          </cell>
          <cell r="G143">
            <v>1.3443733610933872E-2</v>
          </cell>
          <cell r="H143">
            <v>2.562033241060524E-2</v>
          </cell>
          <cell r="I143">
            <v>1.673025999834965E-2</v>
          </cell>
          <cell r="J143">
            <v>8.2878415215676959E-3</v>
          </cell>
        </row>
        <row r="146">
          <cell r="F146" t="str">
            <v>&lt; 70 %</v>
          </cell>
          <cell r="G146">
            <v>0.58353945107333294</v>
          </cell>
          <cell r="H146">
            <v>0.5770297302688645</v>
          </cell>
          <cell r="I146">
            <v>0.53530795570660528</v>
          </cell>
          <cell r="J146">
            <v>0.51023329535000383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</sheetData>
      <sheetData sheetId="2"/>
      <sheetData sheetId="3" refreshError="1">
        <row r="3">
          <cell r="B3" t="str">
            <v xml:space="preserve">S Y N T H E S E  D U  B U D G E T  E C O N O M I Q U E  </v>
          </cell>
          <cell r="E3" t="str">
            <v>d</v>
          </cell>
          <cell r="F3" t="str">
            <v>e</v>
          </cell>
          <cell r="G3" t="str">
            <v>e</v>
          </cell>
          <cell r="H3" t="str">
            <v>p</v>
          </cell>
          <cell r="I3" t="str">
            <v>p</v>
          </cell>
          <cell r="J3" t="str">
            <v>p</v>
          </cell>
          <cell r="K3" t="str">
            <v>p</v>
          </cell>
          <cell r="L3" t="str">
            <v>p</v>
          </cell>
          <cell r="M3" t="str">
            <v>p</v>
          </cell>
          <cell r="N3" t="str">
            <v>document provisoire</v>
          </cell>
        </row>
        <row r="5">
          <cell r="B5" t="str">
            <v>30/06/2002</v>
          </cell>
          <cell r="G5" t="str">
            <v>1999</v>
          </cell>
          <cell r="H5" t="str">
            <v>2000</v>
          </cell>
          <cell r="I5" t="str">
            <v>2001</v>
          </cell>
          <cell r="J5" t="str">
            <v>2002</v>
          </cell>
        </row>
        <row r="6">
          <cell r="G6">
            <v>36341.25</v>
          </cell>
          <cell r="H6">
            <v>36706.5</v>
          </cell>
          <cell r="I6">
            <v>37071.75</v>
          </cell>
          <cell r="J6">
            <v>37437</v>
          </cell>
        </row>
        <row r="7">
          <cell r="G7" t="str">
            <v>est.</v>
          </cell>
          <cell r="H7" t="str">
            <v>proj.</v>
          </cell>
          <cell r="I7" t="str">
            <v>proj.</v>
          </cell>
          <cell r="J7" t="str">
            <v>proj.</v>
          </cell>
        </row>
        <row r="8">
          <cell r="E8">
            <v>583.66999999999996</v>
          </cell>
          <cell r="F8">
            <v>590</v>
          </cell>
          <cell r="G8">
            <v>615</v>
          </cell>
          <cell r="H8">
            <v>625</v>
          </cell>
          <cell r="I8">
            <v>600</v>
          </cell>
          <cell r="J8">
            <v>590</v>
          </cell>
        </row>
        <row r="9">
          <cell r="B9" t="str">
            <v>Taux de change du US$ en FCFA</v>
          </cell>
        </row>
        <row r="11">
          <cell r="B11" t="str">
            <v>Moyenne annuelle</v>
          </cell>
          <cell r="E11">
            <v>1997</v>
          </cell>
          <cell r="F11">
            <v>1998</v>
          </cell>
          <cell r="G11">
            <v>615</v>
          </cell>
          <cell r="H11">
            <v>625</v>
          </cell>
          <cell r="I11">
            <v>600</v>
          </cell>
          <cell r="J11">
            <v>590</v>
          </cell>
        </row>
        <row r="12">
          <cell r="E12">
            <v>3.2000000000000001E-2</v>
          </cell>
          <cell r="F12">
            <v>3.2000000000000001E-2</v>
          </cell>
          <cell r="G12">
            <v>3.2000000000000001E-2</v>
          </cell>
          <cell r="H12">
            <v>3.4000000000000002E-2</v>
          </cell>
          <cell r="I12">
            <v>3.4000000000000002E-2</v>
          </cell>
          <cell r="J12">
            <v>3.4000000000000002E-2</v>
          </cell>
        </row>
        <row r="13">
          <cell r="B13" t="str">
            <v>Opérations consolidées de l'Etat (en mds de FCFA)</v>
          </cell>
        </row>
        <row r="15">
          <cell r="B15" t="str">
            <v>Recettes et dons</v>
          </cell>
          <cell r="G15">
            <v>256.80500000000001</v>
          </cell>
          <cell r="H15">
            <v>290.94409643166819</v>
          </cell>
          <cell r="I15">
            <v>320.35538613700601</v>
          </cell>
          <cell r="J15">
            <v>362.91501057075936</v>
          </cell>
        </row>
        <row r="16">
          <cell r="B16" t="str">
            <v>Recettes hors dons</v>
          </cell>
          <cell r="E16">
            <v>0.10635623229461766</v>
          </cell>
          <cell r="F16">
            <v>8.8744298814153133E-2</v>
          </cell>
          <cell r="G16">
            <v>236.09500000000003</v>
          </cell>
          <cell r="H16">
            <v>268.16309643166818</v>
          </cell>
          <cell r="I16">
            <v>295.29628613700601</v>
          </cell>
          <cell r="J16">
            <v>335.35000057075933</v>
          </cell>
        </row>
        <row r="17">
          <cell r="F17">
            <v>7.7124146955185102E-2</v>
          </cell>
          <cell r="G17">
            <v>6.4627993657396798E-2</v>
          </cell>
          <cell r="H17">
            <v>5.4524556886806463E-2</v>
          </cell>
          <cell r="I17">
            <v>6.2601491913838903E-2</v>
          </cell>
          <cell r="J17">
            <v>7.0947565115819566E-2</v>
          </cell>
        </row>
        <row r="18">
          <cell r="B18" t="str">
            <v>Dépenses et prêts nets</v>
          </cell>
          <cell r="G18">
            <v>224.86</v>
          </cell>
          <cell r="H18">
            <v>270.20409556662588</v>
          </cell>
          <cell r="I18">
            <v>305.53993135902692</v>
          </cell>
          <cell r="J18">
            <v>366.79537972918189</v>
          </cell>
        </row>
        <row r="19">
          <cell r="B19" t="str">
            <v>Dépenses courantes</v>
          </cell>
          <cell r="F19">
            <v>1.0788126783542795E-2</v>
          </cell>
          <cell r="G19">
            <v>159.69</v>
          </cell>
          <cell r="H19">
            <v>188.48509556662592</v>
          </cell>
          <cell r="I19">
            <v>198.89883135902693</v>
          </cell>
          <cell r="J19">
            <v>230.18576972918183</v>
          </cell>
        </row>
        <row r="21">
          <cell r="B21" t="str">
            <v>Encours de la dette publique</v>
          </cell>
          <cell r="E21">
            <v>215844.55958549227</v>
          </cell>
          <cell r="F21">
            <v>227712.7264329035</v>
          </cell>
          <cell r="G21">
            <v>860.68567796610171</v>
          </cell>
          <cell r="H21">
            <v>912.39020537048543</v>
          </cell>
          <cell r="I21">
            <v>912.14701600662113</v>
          </cell>
          <cell r="J21">
            <v>941.96621230005178</v>
          </cell>
        </row>
        <row r="22">
          <cell r="B22" t="str">
            <v>Dette publique intérieure directe</v>
          </cell>
          <cell r="E22">
            <v>369.80581421949438</v>
          </cell>
          <cell r="F22">
            <v>385.95377361509071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Dette publique extérieure</v>
          </cell>
          <cell r="G23">
            <v>860.68567796610171</v>
          </cell>
          <cell r="H23">
            <v>912.39020537048543</v>
          </cell>
          <cell r="I23">
            <v>912.14701600662113</v>
          </cell>
          <cell r="J23">
            <v>941.96621230005178</v>
          </cell>
        </row>
        <row r="24">
          <cell r="E24">
            <v>0.05</v>
          </cell>
          <cell r="F24">
            <v>3.5373898587797825E-2</v>
          </cell>
          <cell r="G24">
            <v>1.3443733610933872E-2</v>
          </cell>
          <cell r="H24">
            <v>2.562033241060524E-2</v>
          </cell>
          <cell r="I24">
            <v>1.673025999834965E-2</v>
          </cell>
          <cell r="J24">
            <v>8.2878415215676959E-3</v>
          </cell>
        </row>
        <row r="25">
          <cell r="B25" t="str">
            <v>Encours arriérés extérieurs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Encours arriérés intérieurs</v>
          </cell>
          <cell r="E26">
            <v>223.10000000000002</v>
          </cell>
          <cell r="F26">
            <v>243.71007110488532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E27">
            <v>139.4</v>
          </cell>
          <cell r="F27">
            <v>164.49199999999999</v>
          </cell>
          <cell r="G27">
            <v>181.270184</v>
          </cell>
          <cell r="H27">
            <v>204.83530791999999</v>
          </cell>
          <cell r="I27">
            <v>228.39136833079999</v>
          </cell>
          <cell r="J27">
            <v>258.08224621380396</v>
          </cell>
        </row>
        <row r="28">
          <cell r="B28" t="str">
            <v>Monnaie et Crédit (en mds de FCFA)</v>
          </cell>
          <cell r="E28">
            <v>83.7</v>
          </cell>
          <cell r="F28">
            <v>79.218071104885325</v>
          </cell>
          <cell r="G28">
            <v>67.712163471069886</v>
          </cell>
          <cell r="H28">
            <v>80.296539969601682</v>
          </cell>
          <cell r="I28">
            <v>103.95812595095573</v>
          </cell>
          <cell r="J28">
            <v>131.49167933372425</v>
          </cell>
        </row>
        <row r="30">
          <cell r="B30" t="str">
            <v>Avoirs extérieurs nets</v>
          </cell>
          <cell r="E30">
            <v>0.17851713156336516</v>
          </cell>
          <cell r="F30">
            <v>0.17782087981213063</v>
          </cell>
          <cell r="G30">
            <v>226.3</v>
          </cell>
          <cell r="H30">
            <v>214.17393817033167</v>
          </cell>
          <cell r="I30">
            <v>179.66192272984105</v>
          </cell>
          <cell r="J30">
            <v>111.05504131820724</v>
          </cell>
        </row>
        <row r="32">
          <cell r="B32" t="str">
            <v xml:space="preserve">Avoirs intérieurs nets </v>
          </cell>
          <cell r="G32">
            <v>97.628</v>
          </cell>
          <cell r="H32">
            <v>105.23320000000001</v>
          </cell>
          <cell r="I32">
            <v>106.06862640000001</v>
          </cell>
          <cell r="J32">
            <v>107.69415776480004</v>
          </cell>
        </row>
        <row r="33">
          <cell r="B33" t="str">
            <v>dont: Position Nette du Gouvernement</v>
          </cell>
          <cell r="G33">
            <v>-10.972</v>
          </cell>
          <cell r="H33">
            <v>-12.271999999999998</v>
          </cell>
          <cell r="I33">
            <v>-21.071999999999999</v>
          </cell>
          <cell r="J33">
            <v>-29.872</v>
          </cell>
        </row>
        <row r="34">
          <cell r="B34" t="str">
            <v>dont: Crédit à l'Economie</v>
          </cell>
          <cell r="E34">
            <v>219.37700000000001</v>
          </cell>
          <cell r="F34">
            <v>247.68700000000004</v>
          </cell>
          <cell r="G34">
            <v>108.6</v>
          </cell>
          <cell r="H34">
            <v>117.5052</v>
          </cell>
          <cell r="I34">
            <v>127.14062640000002</v>
          </cell>
          <cell r="J34">
            <v>137.56615776480004</v>
          </cell>
        </row>
        <row r="35">
          <cell r="E35">
            <v>182.417</v>
          </cell>
          <cell r="F35">
            <v>211.25700000000003</v>
          </cell>
          <cell r="G35">
            <v>236.09500000000003</v>
          </cell>
          <cell r="H35">
            <v>268.16309643166818</v>
          </cell>
          <cell r="I35">
            <v>295.29628613700601</v>
          </cell>
          <cell r="J35">
            <v>335.35000057075933</v>
          </cell>
        </row>
        <row r="36">
          <cell r="B36" t="str">
            <v>Monnaie et quasi-monnaie (M2)</v>
          </cell>
          <cell r="G36">
            <v>303.99509999999998</v>
          </cell>
          <cell r="H36">
            <v>299.47423817033166</v>
          </cell>
          <cell r="I36">
            <v>265.79764912984103</v>
          </cell>
          <cell r="J36">
            <v>198.81629908300727</v>
          </cell>
        </row>
        <row r="37">
          <cell r="E37">
            <v>231.30100000000002</v>
          </cell>
          <cell r="F37">
            <v>223.876</v>
          </cell>
          <cell r="G37">
            <v>224.86</v>
          </cell>
          <cell r="H37">
            <v>270.20409556662588</v>
          </cell>
          <cell r="I37">
            <v>305.53993135902692</v>
          </cell>
          <cell r="J37">
            <v>366.79537972918189</v>
          </cell>
        </row>
        <row r="38">
          <cell r="B38" t="str">
            <v>Secteur extérieur (en mds de FCFA)</v>
          </cell>
          <cell r="E38">
            <v>150.75000000000003</v>
          </cell>
          <cell r="F38">
            <v>146.43600000000001</v>
          </cell>
          <cell r="G38">
            <v>159.69</v>
          </cell>
          <cell r="H38">
            <v>188.48509556662592</v>
          </cell>
          <cell r="I38">
            <v>198.89883135902693</v>
          </cell>
          <cell r="J38">
            <v>230.18576972918183</v>
          </cell>
        </row>
        <row r="39">
          <cell r="E39">
            <v>7.343</v>
          </cell>
          <cell r="F39">
            <v>11.881</v>
          </cell>
          <cell r="G39">
            <v>14.96</v>
          </cell>
          <cell r="H39">
            <v>22.8</v>
          </cell>
          <cell r="I39">
            <v>33.287999999999997</v>
          </cell>
          <cell r="J39">
            <v>49.931999999999995</v>
          </cell>
        </row>
        <row r="40">
          <cell r="B40" t="str">
            <v>Exportations FOB</v>
          </cell>
          <cell r="E40">
            <v>4.6089630931458701E-2</v>
          </cell>
          <cell r="F40">
            <v>6.5063223206120235E-2</v>
          </cell>
          <cell r="G40">
            <v>236.7</v>
          </cell>
          <cell r="H40">
            <v>276.98507879818351</v>
          </cell>
          <cell r="I40">
            <v>289.45002861812219</v>
          </cell>
          <cell r="J40">
            <v>302.64306510479963</v>
          </cell>
        </row>
        <row r="41">
          <cell r="B41" t="str">
            <v>Importations FOB</v>
          </cell>
          <cell r="G41">
            <v>339.87554203876482</v>
          </cell>
          <cell r="H41">
            <v>367.17706563590684</v>
          </cell>
          <cell r="I41">
            <v>396.98788648191771</v>
          </cell>
          <cell r="J41">
            <v>437.3592026987493</v>
          </cell>
        </row>
        <row r="42">
          <cell r="E42">
            <v>62</v>
          </cell>
          <cell r="F42">
            <v>64.569999999999993</v>
          </cell>
          <cell r="G42">
            <v>66.180000000000007</v>
          </cell>
          <cell r="H42">
            <v>71.954431167192439</v>
          </cell>
          <cell r="I42">
            <v>71.574122334384867</v>
          </cell>
          <cell r="J42">
            <v>71.254328243053635</v>
          </cell>
        </row>
        <row r="43">
          <cell r="E43">
            <v>0.3891539040923927</v>
          </cell>
          <cell r="F43">
            <v>0.3536009024845706</v>
          </cell>
          <cell r="G43">
            <v>0.33061071562382915</v>
          </cell>
          <cell r="H43">
            <v>0.32078867116373028</v>
          </cell>
          <cell r="I43">
            <v>0.29607247388299907</v>
          </cell>
          <cell r="J43">
            <v>0.26393989739509988</v>
          </cell>
        </row>
        <row r="45">
          <cell r="E45">
            <v>24.323999999999973</v>
          </cell>
          <cell r="F45">
            <v>52.940000000000026</v>
          </cell>
          <cell r="G45">
            <v>61.445000000000029</v>
          </cell>
          <cell r="H45">
            <v>56.878000865042267</v>
          </cell>
          <cell r="I45">
            <v>63.109454777979082</v>
          </cell>
          <cell r="J45">
            <v>55.232230841577511</v>
          </cell>
        </row>
        <row r="46">
          <cell r="B46" t="str">
            <v>I N D I C A T E U R S  (Variations annuelles sauf indications contraires)</v>
          </cell>
          <cell r="E46">
            <v>1.9463248355657953E-2</v>
          </cell>
          <cell r="F46">
            <v>3.890795211955371E-2</v>
          </cell>
          <cell r="G46">
            <v>4.1659321735121449E-2</v>
          </cell>
          <cell r="H46">
            <v>3.5971777540137612E-2</v>
          </cell>
          <cell r="I46">
            <v>3.7036785331886889E-2</v>
          </cell>
          <cell r="J46">
            <v>2.9917552013907476E-2</v>
          </cell>
        </row>
        <row r="48">
          <cell r="E48">
            <v>0.17553811192728086</v>
          </cell>
          <cell r="F48">
            <v>0.18203615293985448</v>
          </cell>
          <cell r="G48">
            <v>0.17411216727460099</v>
          </cell>
          <cell r="H48">
            <v>0.18400394096636885</v>
          </cell>
          <cell r="I48">
            <v>0.18800564365531616</v>
          </cell>
          <cell r="J48">
            <v>0.19657957934962106</v>
          </cell>
        </row>
        <row r="49">
          <cell r="E49">
            <v>0.14596396050378477</v>
          </cell>
          <cell r="F49">
            <v>0.15526213148697687</v>
          </cell>
          <cell r="G49">
            <v>36341.25</v>
          </cell>
          <cell r="H49">
            <v>36706.5</v>
          </cell>
          <cell r="I49">
            <v>37071.75</v>
          </cell>
          <cell r="J49">
            <v>37437</v>
          </cell>
        </row>
        <row r="50">
          <cell r="E50">
            <v>159.32</v>
          </cell>
          <cell r="F50">
            <v>182.60700000000003</v>
          </cell>
          <cell r="G50" t="str">
            <v>est.</v>
          </cell>
          <cell r="H50" t="str">
            <v>proj.</v>
          </cell>
          <cell r="I50" t="str">
            <v>proj.</v>
          </cell>
          <cell r="J50" t="str">
            <v>proj.</v>
          </cell>
        </row>
        <row r="51">
          <cell r="E51">
            <v>0.12748251636340355</v>
          </cell>
          <cell r="F51">
            <v>0.1342059768170635</v>
          </cell>
          <cell r="G51">
            <v>0.13571738511397075</v>
          </cell>
          <cell r="H51">
            <v>0.14185873969331661</v>
          </cell>
          <cell r="I51">
            <v>0.1418720535011696</v>
          </cell>
          <cell r="J51">
            <v>0.14623107628421117</v>
          </cell>
        </row>
        <row r="52">
          <cell r="B52" t="str">
            <v>Habitants</v>
          </cell>
          <cell r="G52">
            <v>3.2000000000000001E-2</v>
          </cell>
          <cell r="H52">
            <v>3.4000000000000002E-2</v>
          </cell>
          <cell r="I52">
            <v>3.4000000000000002E-2</v>
          </cell>
          <cell r="J52">
            <v>3.4000000000000002E-2</v>
          </cell>
        </row>
        <row r="53">
          <cell r="E53">
            <v>0.18507929649367066</v>
          </cell>
          <cell r="F53">
            <v>0.1645363938178542</v>
          </cell>
          <cell r="G53">
            <v>0.1524536591318969</v>
          </cell>
          <cell r="H53">
            <v>0.1708871878113174</v>
          </cell>
          <cell r="I53">
            <v>0.179310958839282</v>
          </cell>
          <cell r="J53">
            <v>0.19868145255592431</v>
          </cell>
        </row>
        <row r="54">
          <cell r="B54" t="str">
            <v>Produit intérieur brut et F.B.C.F.</v>
          </cell>
        </row>
        <row r="55">
          <cell r="E55">
            <v>-3.9115335989885903E-2</v>
          </cell>
          <cell r="F55">
            <v>-9.27426233087735E-3</v>
          </cell>
          <cell r="G55">
            <v>7.6172590071460627E-3</v>
          </cell>
          <cell r="H55">
            <v>-1.2908042780286136E-3</v>
          </cell>
          <cell r="I55">
            <v>-6.0116458055089941E-3</v>
          </cell>
          <cell r="J55">
            <v>-1.7032967023685026E-2</v>
          </cell>
        </row>
        <row r="56">
          <cell r="B56" t="str">
            <v>PIB au prix du marché courant</v>
          </cell>
          <cell r="E56">
            <v>-6.8689487413381989E-2</v>
          </cell>
          <cell r="F56">
            <v>-3.6048283783754964E-2</v>
          </cell>
          <cell r="G56">
            <v>8.3998770291169755E-2</v>
          </cell>
          <cell r="H56">
            <v>7.203279395929596E-2</v>
          </cell>
          <cell r="I56">
            <v>7.765244670700211E-2</v>
          </cell>
          <cell r="J56">
            <v>8.3441299180999406E-2</v>
          </cell>
        </row>
        <row r="57">
          <cell r="B57" t="str">
            <v>PIB au prix du marché constant (au prix de 1997)</v>
          </cell>
          <cell r="G57">
            <v>6.4627993657396798E-2</v>
          </cell>
          <cell r="H57">
            <v>5.4524556886806463E-2</v>
          </cell>
          <cell r="I57">
            <v>6.2601491913838903E-2</v>
          </cell>
          <cell r="J57">
            <v>7.0947565115819566E-2</v>
          </cell>
        </row>
        <row r="59">
          <cell r="B59" t="str">
            <v>Déflateur du PIB</v>
          </cell>
          <cell r="E59">
            <v>-5.0717749291852708E-2</v>
          </cell>
          <cell r="F59">
            <v>-2.4414115252350831E-2</v>
          </cell>
          <cell r="G59">
            <v>1.8194878163241723E-2</v>
          </cell>
          <cell r="H59">
            <v>1.6602967620003017E-2</v>
          </cell>
          <cell r="I59">
            <v>1.4164251516394E-2</v>
          </cell>
          <cell r="J59">
            <v>1.166605581089164E-2</v>
          </cell>
        </row>
        <row r="61">
          <cell r="B61" t="str">
            <v>PIB à prix constants par habitant (FCFA/ha)</v>
          </cell>
          <cell r="E61">
            <v>748.22</v>
          </cell>
          <cell r="F61">
            <v>771.5</v>
          </cell>
          <cell r="G61">
            <v>239186.3521636792</v>
          </cell>
          <cell r="H61">
            <v>247984.15221176119</v>
          </cell>
          <cell r="I61">
            <v>258453.31564368095</v>
          </cell>
          <cell r="J61">
            <v>270811.40819983225</v>
          </cell>
        </row>
        <row r="62">
          <cell r="B62" t="str">
            <v>PIB à prix constants par habitant (USD/ha)</v>
          </cell>
          <cell r="E62">
            <v>0</v>
          </cell>
          <cell r="F62">
            <v>0</v>
          </cell>
          <cell r="G62">
            <v>388.92089782712065</v>
          </cell>
          <cell r="H62">
            <v>396.77464353881794</v>
          </cell>
          <cell r="I62">
            <v>430.75552607280156</v>
          </cell>
          <cell r="J62">
            <v>459.00238677937671</v>
          </cell>
        </row>
        <row r="63">
          <cell r="E63">
            <v>748.22</v>
          </cell>
          <cell r="F63">
            <v>771.5</v>
          </cell>
          <cell r="G63">
            <v>860.68567796610171</v>
          </cell>
          <cell r="H63">
            <v>912.39020537048543</v>
          </cell>
          <cell r="I63">
            <v>912.14701600662113</v>
          </cell>
          <cell r="J63">
            <v>941.96621230005178</v>
          </cell>
        </row>
        <row r="64">
          <cell r="B64" t="str">
            <v>Indice des prix à la consommation</v>
          </cell>
          <cell r="G64">
            <v>1.3443733610933872E-2</v>
          </cell>
          <cell r="H64">
            <v>2.562033241060524E-2</v>
          </cell>
          <cell r="I64">
            <v>1.673025999834965E-2</v>
          </cell>
          <cell r="J64">
            <v>8.2878415215676959E-3</v>
          </cell>
        </row>
        <row r="65">
          <cell r="E65">
            <v>0.59870052971017962</v>
          </cell>
          <cell r="F65">
            <v>0.56700954023867911</v>
          </cell>
          <cell r="G65">
            <v>0.58353945107333294</v>
          </cell>
          <cell r="H65">
            <v>0.5770297302688645</v>
          </cell>
          <cell r="I65">
            <v>0.53530795570660528</v>
          </cell>
          <cell r="J65">
            <v>0.51023329535000383</v>
          </cell>
        </row>
        <row r="66">
          <cell r="B66" t="str">
            <v>F.B.C.F. totale  (en mds de FCFA constants)</v>
          </cell>
          <cell r="G66">
            <v>248.98234747106989</v>
          </cell>
          <cell r="H66">
            <v>285.13184788960166</v>
          </cell>
          <cell r="I66">
            <v>332.34949428175571</v>
          </cell>
          <cell r="J66">
            <v>389.57392554752823</v>
          </cell>
        </row>
        <row r="67">
          <cell r="B67" t="str">
            <v>privée</v>
          </cell>
          <cell r="E67">
            <v>0.59870052971017962</v>
          </cell>
          <cell r="F67">
            <v>0.56700954023867911</v>
          </cell>
          <cell r="G67">
            <v>181.270184</v>
          </cell>
          <cell r="H67">
            <v>204.83530791999999</v>
          </cell>
          <cell r="I67">
            <v>228.39136833079999</v>
          </cell>
          <cell r="J67">
            <v>258.08224621380396</v>
          </cell>
        </row>
        <row r="68">
          <cell r="B68" t="str">
            <v>publique et IPSBL</v>
          </cell>
          <cell r="G68">
            <v>67.712163471069886</v>
          </cell>
          <cell r="H68">
            <v>80.296539969601682</v>
          </cell>
          <cell r="I68">
            <v>103.95812595095573</v>
          </cell>
          <cell r="J68">
            <v>131.49167933372425</v>
          </cell>
        </row>
        <row r="70">
          <cell r="B70" t="str">
            <v>F.B.C.F. totale (en % du PIB)</v>
          </cell>
          <cell r="G70">
            <v>0.18075311538096467</v>
          </cell>
          <cell r="H70">
            <v>0.19876414169762607</v>
          </cell>
          <cell r="I70">
            <v>0.21492598246933209</v>
          </cell>
          <cell r="J70">
            <v>0.23437979213724719</v>
          </cell>
        </row>
        <row r="72">
          <cell r="B72" t="str">
            <v>Secteur extérieur</v>
          </cell>
          <cell r="E72">
            <v>206.82429999999999</v>
          </cell>
          <cell r="F72">
            <v>196.17180000000002</v>
          </cell>
          <cell r="G72">
            <v>226.3</v>
          </cell>
          <cell r="H72">
            <v>214.17393817033167</v>
          </cell>
          <cell r="I72">
            <v>179.66192272984105</v>
          </cell>
          <cell r="J72">
            <v>111.05504131820724</v>
          </cell>
        </row>
        <row r="74">
          <cell r="B74" t="str">
            <v>Exportations FOB (en % du PIB)</v>
          </cell>
          <cell r="E74">
            <v>92.204099999999997</v>
          </cell>
          <cell r="F74">
            <v>97.85799999999999</v>
          </cell>
          <cell r="G74">
            <v>0.16048110431610776</v>
          </cell>
          <cell r="H74">
            <v>0.1751757355204355</v>
          </cell>
          <cell r="I74">
            <v>0.16986834400569986</v>
          </cell>
          <cell r="J74">
            <v>0.16393217336978064</v>
          </cell>
        </row>
        <row r="75">
          <cell r="B75" t="str">
            <v>Importations FOB (en % du PIB)</v>
          </cell>
          <cell r="E75">
            <v>20.5091</v>
          </cell>
          <cell r="F75">
            <v>-2.2719999999999998</v>
          </cell>
          <cell r="G75">
            <v>0.23043346986234342</v>
          </cell>
          <cell r="H75">
            <v>0.23221652522975911</v>
          </cell>
          <cell r="I75">
            <v>0.23297864294211384</v>
          </cell>
          <cell r="J75">
            <v>0.23690364296585809</v>
          </cell>
        </row>
        <row r="76">
          <cell r="E76">
            <v>71.694999999999993</v>
          </cell>
          <cell r="F76">
            <v>100.13</v>
          </cell>
          <cell r="G76">
            <v>108.6</v>
          </cell>
          <cell r="H76">
            <v>117.5052</v>
          </cell>
          <cell r="I76">
            <v>127.14062640000002</v>
          </cell>
          <cell r="J76">
            <v>137.56615776480004</v>
          </cell>
        </row>
        <row r="77">
          <cell r="B77" t="str">
            <v>Variation termes de l'échange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E78">
            <v>295.32400000000001</v>
          </cell>
          <cell r="F78">
            <v>280.24860000000001</v>
          </cell>
          <cell r="G78">
            <v>303.99509999999998</v>
          </cell>
          <cell r="H78">
            <v>299.47423817033166</v>
          </cell>
          <cell r="I78">
            <v>265.79764912984103</v>
          </cell>
          <cell r="J78">
            <v>198.81629908300727</v>
          </cell>
        </row>
        <row r="79">
          <cell r="B79" t="str">
            <v>Balance commerciale (en % du PIB)</v>
          </cell>
          <cell r="G79">
            <v>-6.9952365546235656E-2</v>
          </cell>
          <cell r="H79">
            <v>-5.7040789709323636E-2</v>
          </cell>
          <cell r="I79">
            <v>-6.3110298936413983E-2</v>
          </cell>
          <cell r="J79">
            <v>-7.2971469596077462E-2</v>
          </cell>
        </row>
        <row r="80">
          <cell r="E80">
            <v>0.23630835213724452</v>
          </cell>
          <cell r="F80">
            <v>0.205967115798488</v>
          </cell>
          <cell r="G80">
            <v>0.2061067568850258</v>
          </cell>
          <cell r="H80">
            <v>0.18939872201250851</v>
          </cell>
          <cell r="I80">
            <v>0.15598756964664992</v>
          </cell>
          <cell r="J80">
            <v>0.10769249907883259</v>
          </cell>
        </row>
        <row r="81">
          <cell r="B81" t="str">
            <v>Déficit courant dons inclus (en % du PIB)</v>
          </cell>
          <cell r="E81">
            <v>4.2317590172149915</v>
          </cell>
          <cell r="F81">
            <v>4.8551439686050166</v>
          </cell>
          <cell r="G81">
            <v>-4.974815384948867E-2</v>
          </cell>
          <cell r="H81">
            <v>-5.3230151398872119E-2</v>
          </cell>
          <cell r="I81">
            <v>-6.4206631575790013E-2</v>
          </cell>
          <cell r="J81">
            <v>-7.8616952162900322E-2</v>
          </cell>
        </row>
        <row r="82">
          <cell r="B82" t="str">
            <v>Déficit courant hors dons (en % du PIB)</v>
          </cell>
          <cell r="G82">
            <v>-5.9985858434081933E-2</v>
          </cell>
          <cell r="H82">
            <v>-6.4333223182163196E-2</v>
          </cell>
          <cell r="I82">
            <v>-7.5539950586887478E-2</v>
          </cell>
          <cell r="J82">
            <v>-9.0123483178130293E-2</v>
          </cell>
        </row>
        <row r="83">
          <cell r="B83" t="str">
            <v>Solde global (en % du PIB)</v>
          </cell>
          <cell r="G83">
            <v>2.0085195303697217E-2</v>
          </cell>
          <cell r="H83">
            <v>-7.6689755606877165E-3</v>
          </cell>
          <cell r="I83">
            <v>-2.0253924102767353E-2</v>
          </cell>
          <cell r="J83">
            <v>-3.7162177081564218E-2</v>
          </cell>
        </row>
        <row r="85">
          <cell r="E85">
            <v>237.6</v>
          </cell>
          <cell r="F85">
            <v>231.4</v>
          </cell>
          <cell r="G85">
            <v>236.7</v>
          </cell>
          <cell r="H85">
            <v>276.98507879818351</v>
          </cell>
          <cell r="I85">
            <v>289.45002861812219</v>
          </cell>
          <cell r="J85">
            <v>302.64306510479963</v>
          </cell>
        </row>
        <row r="86">
          <cell r="E86">
            <v>0.19011954486533195</v>
          </cell>
          <cell r="F86">
            <v>0.17006611485577491</v>
          </cell>
          <cell r="G86">
            <v>0.16048110431610776</v>
          </cell>
          <cell r="H86">
            <v>0.1751757355204355</v>
          </cell>
          <cell r="I86">
            <v>0.16986834400569986</v>
          </cell>
          <cell r="J86">
            <v>0.16393217336978064</v>
          </cell>
        </row>
        <row r="88">
          <cell r="E88">
            <v>-308.5</v>
          </cell>
          <cell r="F88">
            <v>-326.5872170147307</v>
          </cell>
          <cell r="G88">
            <v>-339.87554203876482</v>
          </cell>
          <cell r="H88">
            <v>-367.17706563590684</v>
          </cell>
          <cell r="I88">
            <v>-396.98788648191771</v>
          </cell>
          <cell r="J88">
            <v>-437.3592026987493</v>
          </cell>
        </row>
        <row r="89">
          <cell r="E89">
            <v>-0.24685134507977655</v>
          </cell>
          <cell r="F89">
            <v>-0.24002341901147398</v>
          </cell>
          <cell r="G89">
            <v>36341.25</v>
          </cell>
          <cell r="H89">
            <v>36706.5</v>
          </cell>
          <cell r="I89">
            <v>37071.75</v>
          </cell>
          <cell r="J89">
            <v>37437</v>
          </cell>
        </row>
        <row r="90">
          <cell r="G90" t="str">
            <v>est.</v>
          </cell>
          <cell r="H90" t="str">
            <v>proj.</v>
          </cell>
          <cell r="I90" t="str">
            <v>proj.</v>
          </cell>
          <cell r="J90" t="str">
            <v>proj.</v>
          </cell>
        </row>
        <row r="92">
          <cell r="B92" t="str">
            <v>Monnaie et Crédit</v>
          </cell>
        </row>
        <row r="93">
          <cell r="E93">
            <v>-5.67318002144446E-2</v>
          </cell>
          <cell r="F93">
            <v>-6.9957304155699063E-2</v>
          </cell>
          <cell r="G93">
            <v>-6.9952365546235656E-2</v>
          </cell>
          <cell r="H93">
            <v>-5.7040789709323636E-2</v>
          </cell>
          <cell r="I93">
            <v>-6.3110298936413983E-2</v>
          </cell>
          <cell r="J93">
            <v>-7.2971469596077462E-2</v>
          </cell>
        </row>
        <row r="94">
          <cell r="B94" t="str">
            <v>Monnaie et quasi-monnaie (M2 en % du PIB)</v>
          </cell>
          <cell r="G94">
            <v>0.2061067568850258</v>
          </cell>
          <cell r="H94">
            <v>0.18939872201250851</v>
          </cell>
          <cell r="I94">
            <v>0.15598756964664992</v>
          </cell>
          <cell r="J94">
            <v>0.10769249907883259</v>
          </cell>
        </row>
        <row r="95">
          <cell r="B95" t="str">
            <v>Vélocité (PIB par rapport à M2)</v>
          </cell>
          <cell r="E95">
            <v>-5.1338678445116609E-2</v>
          </cell>
          <cell r="F95">
            <v>-6.0990983493467175E-2</v>
          </cell>
          <cell r="G95">
            <v>4.8518545200235144</v>
          </cell>
          <cell r="H95">
            <v>5.2798666716133216</v>
          </cell>
          <cell r="I95">
            <v>6.4107672314226392</v>
          </cell>
          <cell r="J95">
            <v>9.2856977835381507</v>
          </cell>
        </row>
        <row r="96">
          <cell r="E96">
            <v>-6.2701041816697889E-2</v>
          </cell>
          <cell r="F96">
            <v>-6.7091021321051145E-2</v>
          </cell>
          <cell r="G96">
            <v>-5.9985858434081933E-2</v>
          </cell>
          <cell r="H96">
            <v>-6.4333223182163196E-2</v>
          </cell>
          <cell r="I96">
            <v>-7.5539950586887478E-2</v>
          </cell>
          <cell r="J96">
            <v>-9.0123483178130293E-2</v>
          </cell>
        </row>
        <row r="97">
          <cell r="B97" t="str">
            <v>Opérations consolidées de l'Etat</v>
          </cell>
          <cell r="E97">
            <v>7.3567301998815712E-2</v>
          </cell>
          <cell r="F97">
            <v>-8.6408998237314481E-3</v>
          </cell>
          <cell r="G97">
            <v>2.0085195303697217E-2</v>
          </cell>
          <cell r="H97">
            <v>-7.6689755606877165E-3</v>
          </cell>
          <cell r="I97">
            <v>-2.0253924102767353E-2</v>
          </cell>
          <cell r="J97">
            <v>-3.7162177081564218E-2</v>
          </cell>
        </row>
        <row r="99">
          <cell r="B99" t="str">
            <v>Indicateurs de recettes (en % du PIB)</v>
          </cell>
        </row>
        <row r="100">
          <cell r="B100" t="str">
            <v>Recettes et dons (en % du PIB)</v>
          </cell>
          <cell r="G100">
            <v>0.17411216727460099</v>
          </cell>
          <cell r="H100">
            <v>0.18400394096636885</v>
          </cell>
          <cell r="I100">
            <v>0.18800564365531616</v>
          </cell>
          <cell r="J100">
            <v>0.19657957934962106</v>
          </cell>
        </row>
        <row r="101">
          <cell r="B101" t="str">
            <v>Recettes hors dons (en % du PIB)</v>
          </cell>
          <cell r="E101">
            <v>0.12748251636340355</v>
          </cell>
          <cell r="F101">
            <v>0.1342059768170635</v>
          </cell>
          <cell r="G101">
            <v>0.16007091813904295</v>
          </cell>
          <cell r="H101">
            <v>0.16959638353328876</v>
          </cell>
          <cell r="I101">
            <v>0.17329931303377302</v>
          </cell>
          <cell r="J101">
            <v>0.18164848553223931</v>
          </cell>
        </row>
        <row r="102">
          <cell r="B102" t="str">
            <v>Recettes fiscales</v>
          </cell>
          <cell r="G102">
            <v>0.13571738511397075</v>
          </cell>
          <cell r="H102">
            <v>0.14185873969331661</v>
          </cell>
          <cell r="I102">
            <v>0.1418720535011696</v>
          </cell>
          <cell r="J102">
            <v>0.14623107628421117</v>
          </cell>
        </row>
        <row r="104">
          <cell r="B104" t="str">
            <v>Indicateurs de dépenses (en % du PIB)</v>
          </cell>
          <cell r="E104">
            <v>4.9610318946340833E-2</v>
          </cell>
          <cell r="F104">
            <v>4.7455354521337013E-2</v>
          </cell>
          <cell r="G104">
            <v>4.4869621815124688E-2</v>
          </cell>
          <cell r="H104">
            <v>4.5506676599180569E-2</v>
          </cell>
          <cell r="I104">
            <v>4.2004409854952497E-2</v>
          </cell>
          <cell r="J104">
            <v>3.8596215270429723E-2</v>
          </cell>
        </row>
        <row r="105">
          <cell r="B105" t="str">
            <v>Dépenses et prêts nets (en % du PIB)</v>
          </cell>
          <cell r="G105">
            <v>0.1524536591318969</v>
          </cell>
          <cell r="H105">
            <v>0.1708871878113174</v>
          </cell>
          <cell r="I105">
            <v>0.179310958839282</v>
          </cell>
          <cell r="J105">
            <v>0.19868145255592431</v>
          </cell>
        </row>
        <row r="106">
          <cell r="B106" t="str">
            <v>Masse salariale</v>
          </cell>
          <cell r="G106">
            <v>4.4869621815124688E-2</v>
          </cell>
          <cell r="H106">
            <v>4.5506676599180569E-2</v>
          </cell>
          <cell r="I106">
            <v>4.2004409854952497E-2</v>
          </cell>
          <cell r="J106">
            <v>3.8596215270429723E-2</v>
          </cell>
        </row>
        <row r="107">
          <cell r="B107" t="str">
            <v>Dépenses en capital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10">
          <cell r="B110" t="str">
            <v>Excedent/deficit (base engag. en % du PIB)</v>
          </cell>
          <cell r="G110">
            <v>7.6172590071460627E-3</v>
          </cell>
          <cell r="H110">
            <v>-1.2908042780286136E-3</v>
          </cell>
          <cell r="I110">
            <v>-6.0116458055089941E-3</v>
          </cell>
          <cell r="J110">
            <v>-1.7032967023685026E-2</v>
          </cell>
        </row>
        <row r="111">
          <cell r="B111" t="str">
            <v>hors dons (en % du PIB)</v>
          </cell>
          <cell r="G111">
            <v>-6.4239901284119921E-3</v>
          </cell>
          <cell r="H111">
            <v>-1.5698361711108694E-2</v>
          </cell>
          <cell r="I111">
            <v>-2.071797642705215E-2</v>
          </cell>
          <cell r="J111">
            <v>-3.1964060841066781E-2</v>
          </cell>
        </row>
        <row r="113">
          <cell r="B113" t="str">
            <v>Excedent/deficit (base caisse en % du PIB)</v>
          </cell>
          <cell r="G113">
            <v>-7.8986263848020058E-4</v>
          </cell>
          <cell r="H113">
            <v>-6.982741282449874E-3</v>
          </cell>
          <cell r="I113">
            <v>-1.1293438670930673E-2</v>
          </cell>
          <cell r="J113">
            <v>-2.1907982282392924E-2</v>
          </cell>
        </row>
        <row r="115">
          <cell r="E115">
            <v>0.59870052971017962</v>
          </cell>
          <cell r="F115">
            <v>0.56700954023867911</v>
          </cell>
          <cell r="G115">
            <v>0.58353945107333294</v>
          </cell>
          <cell r="H115">
            <v>0.57702973026886439</v>
          </cell>
          <cell r="I115">
            <v>0.53530795570660505</v>
          </cell>
          <cell r="J115">
            <v>0.51023329535000383</v>
          </cell>
        </row>
        <row r="116">
          <cell r="B116" t="str">
            <v>Indicateurs de dette publique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 t="str">
            <v>Service dette ext. (en % Rec. tot. hors dons)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B118" t="str">
            <v>Service dette int. (en % Rec. tot. hors dons)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Service dette ext. (en % Exp. biens et Sces)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2">
          <cell r="B122" t="str">
            <v>Dette tot. admin. centrale (en % PIB) (fin période)</v>
          </cell>
          <cell r="G122">
            <v>0.58353945107333294</v>
          </cell>
          <cell r="H122">
            <v>0.5770297302688645</v>
          </cell>
          <cell r="I122">
            <v>0.53530795570660528</v>
          </cell>
          <cell r="J122">
            <v>0.51023329535000383</v>
          </cell>
        </row>
        <row r="123">
          <cell r="B123" t="str">
            <v>Dette publique intérieure directe (en % PIB)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Dette publique extérieure (en % PIB)</v>
          </cell>
          <cell r="G124">
            <v>0.58353945107333294</v>
          </cell>
          <cell r="H124">
            <v>0.5770297302688645</v>
          </cell>
          <cell r="I124">
            <v>0.53530795570660528</v>
          </cell>
          <cell r="J124">
            <v>0.51023329535000383</v>
          </cell>
        </row>
        <row r="127">
          <cell r="B127" t="str">
            <v>Service dette publ. ext. (en % export. b &amp; s)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33">
          <cell r="B133" t="str">
            <v>I N D I C A T E U R S  D E  C O N V E R G E N C E  ( U E M O A )</v>
          </cell>
        </row>
        <row r="136">
          <cell r="F136" t="str">
            <v>Objectif</v>
          </cell>
          <cell r="G136">
            <v>36341.25</v>
          </cell>
          <cell r="H136">
            <v>36706.5</v>
          </cell>
          <cell r="I136">
            <v>37071.75</v>
          </cell>
          <cell r="J136">
            <v>37437</v>
          </cell>
        </row>
        <row r="137">
          <cell r="G137" t="str">
            <v>est.</v>
          </cell>
          <cell r="H137" t="str">
            <v>proj.</v>
          </cell>
          <cell r="I137" t="str">
            <v>proj.</v>
          </cell>
          <cell r="J137" t="str">
            <v>proj.</v>
          </cell>
        </row>
        <row r="139">
          <cell r="B139" t="str">
            <v>Critères de premier rang</v>
          </cell>
        </row>
        <row r="141">
          <cell r="B141" t="str">
            <v>Ratio du solde budgétaire de base 1</v>
          </cell>
          <cell r="F141" t="str">
            <v>&gt; 0</v>
          </cell>
          <cell r="G141">
            <v>4.1659321735121449E-2</v>
          </cell>
          <cell r="H141">
            <v>3.5971777540137612E-2</v>
          </cell>
          <cell r="I141">
            <v>3.7036785331886889E-2</v>
          </cell>
          <cell r="J141">
            <v>2.9917552013907476E-2</v>
          </cell>
        </row>
        <row r="143">
          <cell r="B143" t="str">
            <v>Taux d'inflation annuel moyen</v>
          </cell>
          <cell r="F143" t="str">
            <v>&lt; 3 %</v>
          </cell>
          <cell r="G143">
            <v>1.3443733610933872E-2</v>
          </cell>
          <cell r="H143">
            <v>2.562033241060524E-2</v>
          </cell>
          <cell r="I143">
            <v>1.673025999834965E-2</v>
          </cell>
          <cell r="J143">
            <v>8.2878415215676959E-3</v>
          </cell>
        </row>
        <row r="145">
          <cell r="B145" t="str">
            <v>Ratio de l'encours de la dette intérieure</v>
          </cell>
        </row>
        <row r="146">
          <cell r="B146" t="str">
            <v>et extérieure rapporté au PIB</v>
          </cell>
          <cell r="F146" t="str">
            <v>&lt; 70 %</v>
          </cell>
          <cell r="G146">
            <v>0.58353945107333294</v>
          </cell>
          <cell r="H146">
            <v>0.5770297302688645</v>
          </cell>
          <cell r="I146">
            <v>0.53530795570660528</v>
          </cell>
          <cell r="J146">
            <v>0.51023329535000383</v>
          </cell>
        </row>
        <row r="148">
          <cell r="B148" t="str">
            <v>Arriérés de paiement intérieurs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Arriérés de paiement extérieurs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2">
          <cell r="B152" t="str">
            <v>Critères de second rang</v>
          </cell>
        </row>
        <row r="154">
          <cell r="B154" t="str">
            <v xml:space="preserve">Masse salariale sur recettes fiscales </v>
          </cell>
          <cell r="F154" t="str">
            <v>&lt; 35 %</v>
          </cell>
          <cell r="G154">
            <v>0.33061071562382915</v>
          </cell>
          <cell r="H154">
            <v>0.32078867116373028</v>
          </cell>
          <cell r="I154">
            <v>0.29607247388299907</v>
          </cell>
          <cell r="J154">
            <v>0.26393989739509988</v>
          </cell>
        </row>
        <row r="156">
          <cell r="B156" t="str">
            <v>Ratio des investissements publics</v>
          </cell>
        </row>
        <row r="157">
          <cell r="B157" t="str">
            <v xml:space="preserve">financés sur ressources internes </v>
          </cell>
        </row>
        <row r="158">
          <cell r="B158" t="str">
            <v xml:space="preserve">rapporté aux recettes fiscales </v>
          </cell>
          <cell r="F158" t="str">
            <v>&gt; 20 %</v>
          </cell>
          <cell r="G158">
            <v>7.4734607218683649E-2</v>
          </cell>
          <cell r="H158">
            <v>0.10164741189515308</v>
          </cell>
          <cell r="I158">
            <v>0.13769865684936974</v>
          </cell>
          <cell r="J158">
            <v>0.1849578444102013</v>
          </cell>
        </row>
        <row r="160">
          <cell r="B160" t="str">
            <v>Ratio du déficit extérieur courant hors</v>
          </cell>
        </row>
        <row r="161">
          <cell r="B161" t="str">
            <v>dons par rapport au PIB</v>
          </cell>
          <cell r="F161" t="str">
            <v>&lt; 5 %</v>
          </cell>
          <cell r="G161">
            <v>5.9985858434081933E-2</v>
          </cell>
          <cell r="H161">
            <v>6.4333223182163196E-2</v>
          </cell>
          <cell r="I161">
            <v>7.5539950586887478E-2</v>
          </cell>
          <cell r="J161">
            <v>9.0123483178130293E-2</v>
          </cell>
        </row>
        <row r="163">
          <cell r="B163" t="str">
            <v>Taux de pression fiscale 2</v>
          </cell>
          <cell r="F163" t="str">
            <v>&gt; 17 %</v>
          </cell>
          <cell r="G163">
            <v>0.13571738511397075</v>
          </cell>
          <cell r="H163">
            <v>0.14185873969331661</v>
          </cell>
          <cell r="I163">
            <v>0.1418720535011696</v>
          </cell>
          <cell r="J163">
            <v>0.14623107628421117</v>
          </cell>
        </row>
        <row r="169">
          <cell r="B169" t="str">
            <v>1 Recettes totales (hors dons) - Dépenses courantes - Dépenses d'investissements publics financés sur ressources internes</v>
          </cell>
        </row>
        <row r="170">
          <cell r="B170" t="str">
            <v>2 Recettes fiscales sur PIB nominal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/>
          </cell>
          <cell r="AA4" t="str">
            <v>Orcamento,Modalidade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</row>
        <row r="5">
          <cell r="Z5" t="str">
            <v/>
          </cell>
          <cell r="AA5">
            <v>1</v>
          </cell>
          <cell r="AB5" t="str">
            <v/>
          </cell>
          <cell r="AC5" t="str">
            <v/>
          </cell>
          <cell r="AD5">
            <v>2</v>
          </cell>
          <cell r="AE5" t="str">
            <v/>
          </cell>
          <cell r="AF5" t="str">
            <v/>
          </cell>
          <cell r="AG5" t="str">
            <v>Total</v>
          </cell>
        </row>
        <row r="6">
          <cell r="Z6" t="str">
            <v/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/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ários 2001"/>
      <sheetName val="Prioritários 2002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in-out"/>
    </sheetNames>
    <sheetDataSet>
      <sheetData sheetId="0" refreshError="1"/>
      <sheetData sheetId="1" refreshError="1">
        <row r="3">
          <cell r="K3" t="str">
            <v/>
          </cell>
          <cell r="L3" t="str">
            <v>Orcamento,Modalidade</v>
          </cell>
          <cell r="M3" t="str">
            <v/>
          </cell>
        </row>
        <row r="4">
          <cell r="K4" t="str">
            <v/>
          </cell>
          <cell r="L4">
            <v>1</v>
          </cell>
          <cell r="M4" t="str">
            <v>Total</v>
          </cell>
        </row>
        <row r="5">
          <cell r="K5" t="str">
            <v/>
          </cell>
          <cell r="L5">
            <v>1</v>
          </cell>
          <cell r="M5" t="str">
            <v/>
          </cell>
        </row>
        <row r="6"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K7" t="str">
            <v>0101</v>
          </cell>
          <cell r="L7">
            <v>137598</v>
          </cell>
          <cell r="M7">
            <v>137598</v>
          </cell>
        </row>
        <row r="8">
          <cell r="K8" t="str">
            <v>0105</v>
          </cell>
          <cell r="L8">
            <v>88300</v>
          </cell>
          <cell r="M8">
            <v>88300</v>
          </cell>
        </row>
        <row r="9">
          <cell r="K9" t="str">
            <v>0121</v>
          </cell>
          <cell r="L9">
            <v>43890.69</v>
          </cell>
          <cell r="M9">
            <v>43890.69</v>
          </cell>
        </row>
        <row r="10">
          <cell r="K10" t="str">
            <v>0301</v>
          </cell>
          <cell r="L10">
            <v>18837.66</v>
          </cell>
          <cell r="M10">
            <v>18837.66</v>
          </cell>
        </row>
        <row r="11">
          <cell r="K11" t="str">
            <v>0303</v>
          </cell>
          <cell r="L11">
            <v>5175.93</v>
          </cell>
          <cell r="M11">
            <v>5175.93</v>
          </cell>
        </row>
        <row r="12">
          <cell r="K12" t="str">
            <v>0305</v>
          </cell>
          <cell r="L12">
            <v>21755.93</v>
          </cell>
          <cell r="M12">
            <v>21755.93</v>
          </cell>
        </row>
        <row r="13">
          <cell r="K13" t="str">
            <v>0307</v>
          </cell>
          <cell r="L13">
            <v>15148.05</v>
          </cell>
          <cell r="M13">
            <v>15148.05</v>
          </cell>
        </row>
        <row r="14">
          <cell r="K14" t="str">
            <v>0323</v>
          </cell>
          <cell r="L14">
            <v>11518.24</v>
          </cell>
          <cell r="M14">
            <v>11518.24</v>
          </cell>
        </row>
        <row r="15">
          <cell r="K15" t="str">
            <v>0501</v>
          </cell>
          <cell r="L15">
            <v>148322.72</v>
          </cell>
          <cell r="M15">
            <v>148322.72</v>
          </cell>
        </row>
        <row r="16">
          <cell r="K16" t="str">
            <v>0521</v>
          </cell>
          <cell r="L16">
            <v>8014.71</v>
          </cell>
          <cell r="M16">
            <v>8014.71</v>
          </cell>
        </row>
        <row r="17">
          <cell r="K17" t="str">
            <v>0701</v>
          </cell>
          <cell r="L17">
            <v>27663.03</v>
          </cell>
          <cell r="M17">
            <v>27663.03</v>
          </cell>
        </row>
        <row r="18">
          <cell r="K18" t="str">
            <v>0721</v>
          </cell>
          <cell r="L18">
            <v>64171.6</v>
          </cell>
          <cell r="M18">
            <v>64171.6</v>
          </cell>
        </row>
        <row r="19">
          <cell r="K19" t="str">
            <v>0723</v>
          </cell>
          <cell r="L19">
            <v>1976.87</v>
          </cell>
          <cell r="M19">
            <v>1976.87</v>
          </cell>
        </row>
        <row r="20">
          <cell r="K20" t="str">
            <v>0725</v>
          </cell>
          <cell r="L20">
            <v>1818.59</v>
          </cell>
          <cell r="M20">
            <v>1818.59</v>
          </cell>
        </row>
        <row r="21">
          <cell r="K21" t="str">
            <v>0727</v>
          </cell>
          <cell r="L21">
            <v>5686.63</v>
          </cell>
          <cell r="M21">
            <v>5686.63</v>
          </cell>
        </row>
        <row r="22">
          <cell r="K22" t="str">
            <v>0901</v>
          </cell>
          <cell r="L22">
            <v>6364</v>
          </cell>
          <cell r="M22">
            <v>6364</v>
          </cell>
        </row>
        <row r="23">
          <cell r="K23" t="str">
            <v>1101</v>
          </cell>
          <cell r="L23">
            <v>35297.57</v>
          </cell>
          <cell r="M23">
            <v>35297.57</v>
          </cell>
        </row>
        <row r="24">
          <cell r="K24" t="str">
            <v>1301</v>
          </cell>
          <cell r="L24">
            <v>18118.5</v>
          </cell>
          <cell r="M24">
            <v>18118.5</v>
          </cell>
        </row>
        <row r="25">
          <cell r="K25" t="str">
            <v>1321</v>
          </cell>
          <cell r="L25">
            <v>24408.53</v>
          </cell>
          <cell r="M25">
            <v>24408.53</v>
          </cell>
        </row>
        <row r="26">
          <cell r="K26" t="str">
            <v>1501</v>
          </cell>
          <cell r="L26">
            <v>117231.28</v>
          </cell>
          <cell r="M26">
            <v>117231.28</v>
          </cell>
        </row>
        <row r="27">
          <cell r="K27" t="str">
            <v>1502</v>
          </cell>
          <cell r="L27">
            <v>605917</v>
          </cell>
          <cell r="M27">
            <v>605917</v>
          </cell>
        </row>
        <row r="28">
          <cell r="K28" t="str">
            <v>1525</v>
          </cell>
          <cell r="L28">
            <v>9659.98</v>
          </cell>
          <cell r="M28">
            <v>9659.98</v>
          </cell>
        </row>
        <row r="29">
          <cell r="K29" t="str">
            <v>1527</v>
          </cell>
          <cell r="L29">
            <v>7503.35</v>
          </cell>
          <cell r="M29">
            <v>7503.35</v>
          </cell>
        </row>
        <row r="30"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K31" t="str">
            <v>1901</v>
          </cell>
          <cell r="L31">
            <v>171646.11</v>
          </cell>
          <cell r="M31">
            <v>171646.11</v>
          </cell>
        </row>
        <row r="32">
          <cell r="K32" t="str">
            <v>2101</v>
          </cell>
          <cell r="L32">
            <v>105717.13</v>
          </cell>
          <cell r="M32">
            <v>105717.13</v>
          </cell>
        </row>
        <row r="33">
          <cell r="K33" t="str">
            <v>2103</v>
          </cell>
          <cell r="L33">
            <v>474000</v>
          </cell>
          <cell r="M33">
            <v>474000</v>
          </cell>
        </row>
        <row r="34">
          <cell r="K34" t="str">
            <v>2105</v>
          </cell>
          <cell r="L34">
            <v>5943</v>
          </cell>
          <cell r="M34">
            <v>5943</v>
          </cell>
        </row>
        <row r="35">
          <cell r="K35" t="str">
            <v>2107</v>
          </cell>
          <cell r="L35">
            <v>3731.17</v>
          </cell>
          <cell r="M35">
            <v>3731.17</v>
          </cell>
        </row>
        <row r="36">
          <cell r="K36" t="str">
            <v>2108</v>
          </cell>
          <cell r="L36">
            <v>10903.2</v>
          </cell>
          <cell r="M36">
            <v>10903.2</v>
          </cell>
        </row>
        <row r="37">
          <cell r="K37" t="str">
            <v>2109</v>
          </cell>
          <cell r="L37">
            <v>11821.81</v>
          </cell>
          <cell r="M37">
            <v>11821.81</v>
          </cell>
        </row>
        <row r="38">
          <cell r="K38" t="str">
            <v>2128</v>
          </cell>
          <cell r="L38">
            <v>591.37</v>
          </cell>
          <cell r="M38">
            <v>591.37</v>
          </cell>
        </row>
        <row r="39">
          <cell r="K39" t="str">
            <v>2129</v>
          </cell>
          <cell r="L39">
            <v>11429.25</v>
          </cell>
          <cell r="M39">
            <v>11429.25</v>
          </cell>
        </row>
        <row r="40">
          <cell r="K40" t="str">
            <v>2301</v>
          </cell>
          <cell r="L40">
            <v>26450.46</v>
          </cell>
          <cell r="M40">
            <v>26450.46</v>
          </cell>
        </row>
        <row r="41"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K42" t="str">
            <v>2305</v>
          </cell>
          <cell r="L42">
            <v>3307.51</v>
          </cell>
          <cell r="M42">
            <v>3307.51</v>
          </cell>
        </row>
        <row r="43">
          <cell r="K43" t="str">
            <v>2321</v>
          </cell>
          <cell r="L43">
            <v>27345.09</v>
          </cell>
          <cell r="M43">
            <v>27345.09</v>
          </cell>
        </row>
        <row r="44">
          <cell r="K44" t="str">
            <v>2323</v>
          </cell>
          <cell r="L44">
            <v>39855.46</v>
          </cell>
          <cell r="M44">
            <v>39855.46</v>
          </cell>
        </row>
        <row r="45">
          <cell r="K45" t="str">
            <v>2325</v>
          </cell>
          <cell r="L45">
            <v>9117.48</v>
          </cell>
          <cell r="M45">
            <v>9117.48</v>
          </cell>
        </row>
        <row r="46"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K47" t="str">
            <v>2503</v>
          </cell>
          <cell r="L47">
            <v>15796.51</v>
          </cell>
          <cell r="M47">
            <v>15796.51</v>
          </cell>
        </row>
        <row r="48">
          <cell r="K48" t="str">
            <v>2521</v>
          </cell>
          <cell r="L48">
            <v>31209.35</v>
          </cell>
          <cell r="M48">
            <v>31209.35</v>
          </cell>
        </row>
        <row r="49"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K50" t="str">
            <v>2701</v>
          </cell>
          <cell r="L50">
            <v>94809.99</v>
          </cell>
          <cell r="M50">
            <v>94809.99</v>
          </cell>
        </row>
        <row r="51">
          <cell r="K51" t="str">
            <v>2703</v>
          </cell>
          <cell r="L51">
            <v>166400</v>
          </cell>
          <cell r="M51">
            <v>166400</v>
          </cell>
        </row>
        <row r="52"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K54" t="str">
            <v>2727</v>
          </cell>
          <cell r="L54">
            <v>12265.3</v>
          </cell>
          <cell r="M54">
            <v>12265.3</v>
          </cell>
        </row>
        <row r="55">
          <cell r="K55" t="str">
            <v>3101</v>
          </cell>
          <cell r="L55">
            <v>20891.22</v>
          </cell>
          <cell r="M55">
            <v>20891.22</v>
          </cell>
        </row>
        <row r="56">
          <cell r="K56" t="str">
            <v>3103</v>
          </cell>
          <cell r="L56">
            <v>14150</v>
          </cell>
          <cell r="M56">
            <v>14150</v>
          </cell>
        </row>
        <row r="57"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K58" t="str">
            <v>3107</v>
          </cell>
          <cell r="L58">
            <v>6134.4</v>
          </cell>
          <cell r="M58">
            <v>6134.4</v>
          </cell>
        </row>
        <row r="59">
          <cell r="K59" t="str">
            <v>3121</v>
          </cell>
          <cell r="L59">
            <v>15961.5</v>
          </cell>
          <cell r="M59">
            <v>15961.5</v>
          </cell>
        </row>
        <row r="60">
          <cell r="K60" t="str">
            <v>3125</v>
          </cell>
          <cell r="L60">
            <v>1500.2</v>
          </cell>
          <cell r="M60">
            <v>1500.2</v>
          </cell>
        </row>
        <row r="61">
          <cell r="K61" t="str">
            <v>3127</v>
          </cell>
          <cell r="L61">
            <v>7635.81</v>
          </cell>
          <cell r="M61">
            <v>7635.81</v>
          </cell>
        </row>
        <row r="62">
          <cell r="K62" t="str">
            <v>3301</v>
          </cell>
          <cell r="L62">
            <v>23344.52</v>
          </cell>
          <cell r="M62">
            <v>23344.52</v>
          </cell>
        </row>
        <row r="63">
          <cell r="K63" t="str">
            <v>3321</v>
          </cell>
          <cell r="L63">
            <v>21475.38</v>
          </cell>
          <cell r="M63">
            <v>21475.38</v>
          </cell>
        </row>
        <row r="64">
          <cell r="K64" t="str">
            <v>35011</v>
          </cell>
          <cell r="L64">
            <v>16413.86</v>
          </cell>
          <cell r="M64">
            <v>16413.86</v>
          </cell>
        </row>
        <row r="65">
          <cell r="K65" t="str">
            <v>35012</v>
          </cell>
          <cell r="L65">
            <v>3779.8</v>
          </cell>
          <cell r="M65">
            <v>3779.8</v>
          </cell>
        </row>
        <row r="66"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K67" t="str">
            <v>35014</v>
          </cell>
          <cell r="L67">
            <v>7210.17</v>
          </cell>
          <cell r="M67">
            <v>7210.17</v>
          </cell>
        </row>
        <row r="68"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K70" t="str">
            <v>35211</v>
          </cell>
          <cell r="L70">
            <v>19678.95</v>
          </cell>
          <cell r="M70">
            <v>19678.95</v>
          </cell>
        </row>
        <row r="71">
          <cell r="K71" t="str">
            <v>35212</v>
          </cell>
          <cell r="L71">
            <v>6532.86</v>
          </cell>
          <cell r="M71">
            <v>6532.86</v>
          </cell>
        </row>
        <row r="72">
          <cell r="K72" t="str">
            <v>35214</v>
          </cell>
          <cell r="L72">
            <v>4319.09</v>
          </cell>
          <cell r="M72">
            <v>4319.09</v>
          </cell>
        </row>
        <row r="73">
          <cell r="K73" t="str">
            <v>35215</v>
          </cell>
          <cell r="L73">
            <v>12538.22</v>
          </cell>
          <cell r="M73">
            <v>12538.22</v>
          </cell>
        </row>
        <row r="74">
          <cell r="K74" t="str">
            <v>35219</v>
          </cell>
          <cell r="L74">
            <v>59734.7</v>
          </cell>
          <cell r="M74">
            <v>59734.7</v>
          </cell>
        </row>
        <row r="75">
          <cell r="K75" t="str">
            <v>3701</v>
          </cell>
          <cell r="L75">
            <v>29908.35</v>
          </cell>
          <cell r="M75">
            <v>29908.35</v>
          </cell>
        </row>
        <row r="76">
          <cell r="K76" t="str">
            <v>3721</v>
          </cell>
          <cell r="L76">
            <v>8135.1</v>
          </cell>
          <cell r="M76">
            <v>8135.1</v>
          </cell>
        </row>
        <row r="77">
          <cell r="K77" t="str">
            <v>39011</v>
          </cell>
          <cell r="L77">
            <v>26273.15</v>
          </cell>
          <cell r="M77">
            <v>26273.15</v>
          </cell>
        </row>
        <row r="78">
          <cell r="K78" t="str">
            <v>39211</v>
          </cell>
          <cell r="L78">
            <v>2419.69</v>
          </cell>
          <cell r="M78">
            <v>2419.69</v>
          </cell>
        </row>
        <row r="79">
          <cell r="K79" t="str">
            <v>39212</v>
          </cell>
          <cell r="L79">
            <v>226.13</v>
          </cell>
          <cell r="M79">
            <v>226.13</v>
          </cell>
        </row>
        <row r="80">
          <cell r="K80" t="str">
            <v>39213</v>
          </cell>
          <cell r="L80">
            <v>1346.48</v>
          </cell>
          <cell r="M80">
            <v>1346.48</v>
          </cell>
        </row>
        <row r="81">
          <cell r="K81" t="str">
            <v>39219</v>
          </cell>
          <cell r="L81">
            <v>11236.87</v>
          </cell>
          <cell r="M81">
            <v>11236.87</v>
          </cell>
        </row>
        <row r="82">
          <cell r="K82" t="str">
            <v>41011</v>
          </cell>
          <cell r="L82">
            <v>13004.46</v>
          </cell>
          <cell r="M82">
            <v>13004.46</v>
          </cell>
        </row>
        <row r="83">
          <cell r="K83" t="str">
            <v>41012</v>
          </cell>
          <cell r="L83">
            <v>21829.59</v>
          </cell>
          <cell r="M83">
            <v>21829.59</v>
          </cell>
        </row>
        <row r="84">
          <cell r="K84" t="str">
            <v>41019</v>
          </cell>
          <cell r="L84">
            <v>6848.86</v>
          </cell>
          <cell r="M84">
            <v>6848.86</v>
          </cell>
        </row>
        <row r="85">
          <cell r="K85" t="str">
            <v>41211</v>
          </cell>
          <cell r="L85">
            <v>2093.37</v>
          </cell>
          <cell r="M85">
            <v>2093.37</v>
          </cell>
        </row>
        <row r="86">
          <cell r="K86" t="str">
            <v>41212</v>
          </cell>
          <cell r="L86">
            <v>4515.21</v>
          </cell>
          <cell r="M86">
            <v>4515.21</v>
          </cell>
        </row>
        <row r="87">
          <cell r="K87" t="str">
            <v>41219</v>
          </cell>
          <cell r="L87">
            <v>12599.82</v>
          </cell>
          <cell r="M87">
            <v>12599.82</v>
          </cell>
        </row>
        <row r="88"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K89" t="str">
            <v>4321</v>
          </cell>
          <cell r="L89">
            <v>13533.83</v>
          </cell>
          <cell r="M89">
            <v>13533.83</v>
          </cell>
        </row>
        <row r="90">
          <cell r="K90" t="str">
            <v>4501</v>
          </cell>
          <cell r="L90">
            <v>35439.46</v>
          </cell>
          <cell r="M90">
            <v>35439.46</v>
          </cell>
        </row>
        <row r="91"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K92" t="str">
            <v>4505</v>
          </cell>
          <cell r="L92">
            <v>3230.37</v>
          </cell>
          <cell r="M92">
            <v>3230.37</v>
          </cell>
        </row>
        <row r="93">
          <cell r="K93" t="str">
            <v>4521</v>
          </cell>
          <cell r="L93">
            <v>28025.37</v>
          </cell>
          <cell r="M93">
            <v>28025.37</v>
          </cell>
        </row>
        <row r="94">
          <cell r="K94" t="str">
            <v>4525</v>
          </cell>
          <cell r="L94">
            <v>1057.77</v>
          </cell>
          <cell r="M94">
            <v>1057.77</v>
          </cell>
        </row>
        <row r="95">
          <cell r="K95" t="str">
            <v>47019</v>
          </cell>
          <cell r="L95">
            <v>34254.04</v>
          </cell>
          <cell r="M95">
            <v>34254.04</v>
          </cell>
        </row>
        <row r="96"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K97" t="str">
            <v>47212</v>
          </cell>
          <cell r="L97">
            <v>2922.38</v>
          </cell>
          <cell r="M97">
            <v>2922.38</v>
          </cell>
        </row>
        <row r="98">
          <cell r="K98" t="str">
            <v>47213</v>
          </cell>
          <cell r="L98">
            <v>5016.82</v>
          </cell>
          <cell r="M98">
            <v>5016.82</v>
          </cell>
        </row>
        <row r="99"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K100" t="str">
            <v>4723</v>
          </cell>
          <cell r="L100">
            <v>438.56</v>
          </cell>
          <cell r="M100">
            <v>438.56</v>
          </cell>
        </row>
        <row r="101">
          <cell r="K101" t="str">
            <v>4756</v>
          </cell>
          <cell r="L101">
            <v>3320.83</v>
          </cell>
          <cell r="M101">
            <v>3320.83</v>
          </cell>
        </row>
        <row r="102">
          <cell r="K102" t="str">
            <v>50011</v>
          </cell>
          <cell r="L102">
            <v>80457.95</v>
          </cell>
          <cell r="M102">
            <v>80457.95</v>
          </cell>
        </row>
        <row r="103">
          <cell r="K103" t="str">
            <v>50012</v>
          </cell>
          <cell r="L103">
            <v>52713.85</v>
          </cell>
          <cell r="M103">
            <v>52713.85</v>
          </cell>
        </row>
        <row r="104">
          <cell r="K104" t="str">
            <v>50017</v>
          </cell>
          <cell r="L104">
            <v>66585.87</v>
          </cell>
          <cell r="M104">
            <v>66585.87</v>
          </cell>
        </row>
        <row r="105">
          <cell r="K105" t="str">
            <v>50019</v>
          </cell>
          <cell r="L105">
            <v>77683.5</v>
          </cell>
          <cell r="M105">
            <v>77683.5</v>
          </cell>
        </row>
        <row r="106">
          <cell r="K106" t="str">
            <v>5003</v>
          </cell>
          <cell r="L106">
            <v>2650.82</v>
          </cell>
          <cell r="M106">
            <v>2650.82</v>
          </cell>
        </row>
        <row r="107"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K110" t="str">
            <v>50219</v>
          </cell>
          <cell r="L110">
            <v>49003.64</v>
          </cell>
          <cell r="M110">
            <v>49003.64</v>
          </cell>
        </row>
        <row r="111"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K112" t="str">
            <v>5203</v>
          </cell>
          <cell r="L112">
            <v>267727.7</v>
          </cell>
          <cell r="M112">
            <v>267727.7</v>
          </cell>
        </row>
        <row r="113">
          <cell r="K113" t="str">
            <v>5205</v>
          </cell>
          <cell r="L113">
            <v>53926.66</v>
          </cell>
          <cell r="M113">
            <v>53926.66</v>
          </cell>
        </row>
        <row r="114">
          <cell r="K114" t="str">
            <v>5207</v>
          </cell>
          <cell r="L114">
            <v>26121.52</v>
          </cell>
          <cell r="M114">
            <v>26121.52</v>
          </cell>
        </row>
        <row r="115">
          <cell r="K115" t="str">
            <v>5225</v>
          </cell>
          <cell r="L115">
            <v>23093.7</v>
          </cell>
          <cell r="M115">
            <v>23093.7</v>
          </cell>
        </row>
        <row r="116">
          <cell r="K116" t="str">
            <v>5401</v>
          </cell>
          <cell r="L116">
            <v>14040.61</v>
          </cell>
          <cell r="M116">
            <v>14040.61</v>
          </cell>
        </row>
        <row r="117">
          <cell r="K117" t="str">
            <v>5421</v>
          </cell>
          <cell r="L117">
            <v>12153.71</v>
          </cell>
          <cell r="M117">
            <v>12153.71</v>
          </cell>
        </row>
        <row r="118"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K119" t="str">
            <v>5603</v>
          </cell>
          <cell r="L119">
            <v>7958.93</v>
          </cell>
          <cell r="M119">
            <v>7958.93</v>
          </cell>
        </row>
        <row r="120">
          <cell r="K120" t="str">
            <v>5621</v>
          </cell>
          <cell r="L120">
            <v>16140.83</v>
          </cell>
          <cell r="M120">
            <v>16140.83</v>
          </cell>
        </row>
        <row r="121">
          <cell r="K121" t="str">
            <v>5680</v>
          </cell>
          <cell r="L121">
            <v>7174.03</v>
          </cell>
          <cell r="M121">
            <v>7174.03</v>
          </cell>
        </row>
        <row r="122">
          <cell r="K122" t="str">
            <v>58012</v>
          </cell>
          <cell r="L122">
            <v>64260.61</v>
          </cell>
          <cell r="M122">
            <v>64260.61</v>
          </cell>
        </row>
        <row r="123"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K127" t="str">
            <v>58212</v>
          </cell>
          <cell r="L127">
            <v>67032.86</v>
          </cell>
          <cell r="M127">
            <v>67032.86</v>
          </cell>
        </row>
        <row r="128">
          <cell r="K128" t="str">
            <v>58213</v>
          </cell>
          <cell r="L128">
            <v>13951.01</v>
          </cell>
          <cell r="M128">
            <v>13951.01</v>
          </cell>
        </row>
        <row r="129"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K130" t="str">
            <v>5827</v>
          </cell>
          <cell r="L130">
            <v>73902.69</v>
          </cell>
          <cell r="M130">
            <v>73902.69</v>
          </cell>
        </row>
        <row r="131">
          <cell r="K131" t="str">
            <v>6001</v>
          </cell>
          <cell r="L131">
            <v>10889.01</v>
          </cell>
          <cell r="M131">
            <v>10889.01</v>
          </cell>
        </row>
        <row r="132">
          <cell r="K132" t="str">
            <v>6021</v>
          </cell>
          <cell r="L132">
            <v>8052.37</v>
          </cell>
          <cell r="M132">
            <v>8052.37</v>
          </cell>
        </row>
        <row r="133">
          <cell r="K133" t="str">
            <v>6201</v>
          </cell>
          <cell r="L133">
            <v>18921.88</v>
          </cell>
          <cell r="M133">
            <v>18921.88</v>
          </cell>
        </row>
        <row r="134">
          <cell r="K134" t="str">
            <v>6203</v>
          </cell>
          <cell r="L134">
            <v>11184.01</v>
          </cell>
          <cell r="M134">
            <v>11184.01</v>
          </cell>
        </row>
        <row r="135">
          <cell r="K135" t="str">
            <v>6205</v>
          </cell>
          <cell r="L135">
            <v>2503.42</v>
          </cell>
          <cell r="M135">
            <v>2503.42</v>
          </cell>
        </row>
        <row r="136">
          <cell r="K136" t="str">
            <v>6221</v>
          </cell>
          <cell r="L136">
            <v>31551.03</v>
          </cell>
          <cell r="M136">
            <v>31551.03</v>
          </cell>
        </row>
        <row r="137">
          <cell r="K137" t="str">
            <v>6223</v>
          </cell>
          <cell r="L137">
            <v>13915.92</v>
          </cell>
          <cell r="M137">
            <v>13915.92</v>
          </cell>
        </row>
        <row r="138">
          <cell r="K138" t="str">
            <v>6225</v>
          </cell>
          <cell r="L138">
            <v>5661.21</v>
          </cell>
          <cell r="M138">
            <v>5661.21</v>
          </cell>
        </row>
        <row r="139"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K140" t="str">
            <v>65012</v>
          </cell>
          <cell r="L140">
            <v>1088000</v>
          </cell>
          <cell r="M140">
            <v>1088000</v>
          </cell>
        </row>
        <row r="141"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K142" t="str">
            <v>65014</v>
          </cell>
          <cell r="L142">
            <v>147550</v>
          </cell>
          <cell r="M142">
            <v>147550</v>
          </cell>
        </row>
        <row r="143"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K144" t="str">
            <v>65016</v>
          </cell>
          <cell r="L144">
            <v>10000</v>
          </cell>
          <cell r="M144">
            <v>10000</v>
          </cell>
        </row>
        <row r="145">
          <cell r="K145" t="str">
            <v>65017</v>
          </cell>
          <cell r="L145">
            <v>93000</v>
          </cell>
          <cell r="M145">
            <v>93000</v>
          </cell>
        </row>
        <row r="146"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K147" t="str">
            <v>65023</v>
          </cell>
          <cell r="L147">
            <v>180600</v>
          </cell>
          <cell r="M147">
            <v>180600</v>
          </cell>
        </row>
        <row r="148"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K149" t="str">
            <v>65031</v>
          </cell>
        </row>
        <row r="150">
          <cell r="K150" t="str">
            <v>Total</v>
          </cell>
          <cell r="L150">
            <v>13077580.009999998</v>
          </cell>
          <cell r="M150">
            <v>14042580.01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go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o"/>
      <sheetName val="Provincial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/>
          </cell>
          <cell r="L10">
            <v>150</v>
          </cell>
          <cell r="M10" t="str">
            <v/>
          </cell>
          <cell r="N10" t="str">
            <v/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/>
          </cell>
          <cell r="L12">
            <v>33.619999999999997</v>
          </cell>
          <cell r="M12" t="str">
            <v/>
          </cell>
          <cell r="N12">
            <v>39.92</v>
          </cell>
          <cell r="O12">
            <v>674.49</v>
          </cell>
          <cell r="P12" t="str">
            <v/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/>
          </cell>
          <cell r="L15">
            <v>4140</v>
          </cell>
          <cell r="M15" t="str">
            <v/>
          </cell>
          <cell r="N15" t="str">
            <v/>
          </cell>
          <cell r="O15">
            <v>726</v>
          </cell>
          <cell r="P15" t="str">
            <v/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/>
          </cell>
          <cell r="L17" t="str">
            <v/>
          </cell>
          <cell r="M17" t="str">
            <v/>
          </cell>
          <cell r="N17">
            <v>130.01</v>
          </cell>
          <cell r="O17">
            <v>53.54</v>
          </cell>
          <cell r="P17" t="str">
            <v/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/>
          </cell>
          <cell r="L18">
            <v>1350</v>
          </cell>
          <cell r="M18" t="str">
            <v/>
          </cell>
          <cell r="N18" t="str">
            <v/>
          </cell>
          <cell r="O18">
            <v>550</v>
          </cell>
          <cell r="P18" t="str">
            <v/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130</v>
          </cell>
          <cell r="P19" t="str">
            <v/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/>
          </cell>
          <cell r="L20" t="str">
            <v/>
          </cell>
          <cell r="M20" t="str">
            <v/>
          </cell>
          <cell r="N20">
            <v>405</v>
          </cell>
          <cell r="O20">
            <v>515.5</v>
          </cell>
          <cell r="P20" t="str">
            <v/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/>
          </cell>
          <cell r="L22" t="str">
            <v/>
          </cell>
          <cell r="M22" t="str">
            <v/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6.41</v>
          </cell>
          <cell r="P23" t="str">
            <v/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/>
          </cell>
          <cell r="L24">
            <v>100</v>
          </cell>
          <cell r="M24" t="str">
            <v/>
          </cell>
          <cell r="N24" t="str">
            <v/>
          </cell>
          <cell r="O24">
            <v>100</v>
          </cell>
          <cell r="P24" t="str">
            <v/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/>
          </cell>
          <cell r="L25">
            <v>10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/>
          </cell>
          <cell r="L26" t="str">
            <v/>
          </cell>
          <cell r="M26" t="str">
            <v/>
          </cell>
          <cell r="N26">
            <v>122.04</v>
          </cell>
          <cell r="O26">
            <v>149</v>
          </cell>
          <cell r="P26" t="str">
            <v/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/>
          </cell>
          <cell r="L27">
            <v>1808.66</v>
          </cell>
          <cell r="M27" t="str">
            <v/>
          </cell>
          <cell r="N27" t="str">
            <v/>
          </cell>
          <cell r="O27">
            <v>5705.75</v>
          </cell>
          <cell r="P27" t="str">
            <v/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/>
          </cell>
          <cell r="L28" t="str">
            <v/>
          </cell>
          <cell r="M28" t="str">
            <v/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/>
          </cell>
          <cell r="L29">
            <v>200</v>
          </cell>
          <cell r="M29" t="str">
            <v/>
          </cell>
          <cell r="N29">
            <v>24</v>
          </cell>
          <cell r="O29">
            <v>31</v>
          </cell>
          <cell r="P29" t="str">
            <v/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/>
          </cell>
          <cell r="L31" t="str">
            <v/>
          </cell>
          <cell r="M31" t="str">
            <v/>
          </cell>
          <cell r="N31">
            <v>26.5</v>
          </cell>
          <cell r="O31">
            <v>41.09</v>
          </cell>
          <cell r="P31" t="str">
            <v/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/>
          </cell>
          <cell r="L32">
            <v>3236</v>
          </cell>
          <cell r="M32" t="str">
            <v/>
          </cell>
          <cell r="N32" t="str">
            <v/>
          </cell>
          <cell r="O32" t="str">
            <v/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10</v>
          </cell>
          <cell r="P34" t="str">
            <v/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/>
          </cell>
          <cell r="L35">
            <v>422870</v>
          </cell>
          <cell r="M35" t="str">
            <v/>
          </cell>
          <cell r="N35" t="str">
            <v/>
          </cell>
          <cell r="O35">
            <v>303</v>
          </cell>
          <cell r="P35" t="str">
            <v/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>
            <v>40</v>
          </cell>
          <cell r="P37" t="str">
            <v/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>
            <v>12.1</v>
          </cell>
          <cell r="P38" t="str">
            <v/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>
            <v>30</v>
          </cell>
          <cell r="P39" t="str">
            <v/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/>
          </cell>
          <cell r="L40" t="str">
            <v/>
          </cell>
          <cell r="M40" t="str">
            <v/>
          </cell>
          <cell r="N40">
            <v>63.67</v>
          </cell>
          <cell r="O40">
            <v>115.5</v>
          </cell>
          <cell r="P40" t="str">
            <v/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>
            <v>560</v>
          </cell>
          <cell r="P42" t="str">
            <v/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/>
          </cell>
          <cell r="L43">
            <v>20</v>
          </cell>
          <cell r="M43" t="str">
            <v/>
          </cell>
          <cell r="N43">
            <v>20</v>
          </cell>
          <cell r="O43">
            <v>170</v>
          </cell>
          <cell r="P43" t="str">
            <v/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>
            <v>385.8</v>
          </cell>
          <cell r="P44" t="str">
            <v/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/>
          </cell>
          <cell r="L45" t="str">
            <v/>
          </cell>
          <cell r="M45" t="str">
            <v/>
          </cell>
          <cell r="N45">
            <v>148.44</v>
          </cell>
          <cell r="O45">
            <v>561</v>
          </cell>
          <cell r="P45" t="str">
            <v/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/>
          </cell>
          <cell r="L46">
            <v>400</v>
          </cell>
          <cell r="M46" t="str">
            <v/>
          </cell>
          <cell r="N46" t="str">
            <v/>
          </cell>
          <cell r="O46">
            <v>157.32</v>
          </cell>
          <cell r="P46" t="str">
            <v/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/>
          </cell>
          <cell r="L47">
            <v>260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/>
          </cell>
          <cell r="L48">
            <v>340</v>
          </cell>
          <cell r="M48" t="str">
            <v/>
          </cell>
          <cell r="N48">
            <v>82.46</v>
          </cell>
          <cell r="O48">
            <v>263.41000000000003</v>
          </cell>
          <cell r="P48" t="str">
            <v/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/>
          </cell>
          <cell r="L49" t="str">
            <v/>
          </cell>
          <cell r="M49" t="str">
            <v/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/>
          </cell>
          <cell r="L50">
            <v>789.6</v>
          </cell>
          <cell r="M50" t="str">
            <v/>
          </cell>
          <cell r="N50" t="str">
            <v/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/>
          </cell>
          <cell r="F51" t="str">
            <v/>
          </cell>
          <cell r="G51" t="str">
            <v/>
          </cell>
          <cell r="H51">
            <v>279000</v>
          </cell>
          <cell r="I51" t="str">
            <v/>
          </cell>
          <cell r="J51">
            <v>279000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515000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>
            <v>114400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>
            <v>123000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>
            <v>318818.2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>
            <v>7628.71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>
            <v>78000</v>
          </cell>
          <cell r="N57" t="str">
            <v/>
          </cell>
          <cell r="O57" t="str">
            <v/>
          </cell>
          <cell r="P57" t="str">
            <v/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>
            <v>215490.24</v>
          </cell>
          <cell r="O58" t="str">
            <v/>
          </cell>
          <cell r="P58" t="str">
            <v/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/>
          </cell>
          <cell r="L60">
            <v>33.619999999999997</v>
          </cell>
          <cell r="M60" t="str">
            <v/>
          </cell>
          <cell r="N60" t="str">
            <v/>
          </cell>
          <cell r="O60">
            <v>538.83000000000004</v>
          </cell>
          <cell r="P60" t="str">
            <v/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>
            <v>139600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>
            <v>964160.77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>
            <v>19500</v>
          </cell>
          <cell r="O63" t="str">
            <v/>
          </cell>
          <cell r="P63" t="str">
            <v/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/>
          </cell>
          <cell r="L64" t="str">
            <v/>
          </cell>
          <cell r="M64" t="str">
            <v/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/>
          </cell>
          <cell r="L65">
            <v>6393</v>
          </cell>
          <cell r="M65" t="str">
            <v/>
          </cell>
          <cell r="N65" t="str">
            <v/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/>
          </cell>
          <cell r="L68" t="str">
            <v/>
          </cell>
          <cell r="M68" t="str">
            <v/>
          </cell>
          <cell r="N68">
            <v>44.06</v>
          </cell>
          <cell r="O68">
            <v>165.12</v>
          </cell>
          <cell r="P68" t="str">
            <v/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>
            <v>3.65</v>
          </cell>
          <cell r="P69" t="str">
            <v/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/>
          </cell>
          <cell r="L71">
            <v>100</v>
          </cell>
          <cell r="M71" t="str">
            <v/>
          </cell>
          <cell r="N71" t="str">
            <v/>
          </cell>
          <cell r="O71">
            <v>447.4</v>
          </cell>
          <cell r="P71" t="str">
            <v/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/>
          </cell>
          <cell r="L72">
            <v>48</v>
          </cell>
          <cell r="M72" t="str">
            <v/>
          </cell>
          <cell r="N72">
            <v>16.8</v>
          </cell>
          <cell r="O72">
            <v>75.010000000000005</v>
          </cell>
          <cell r="P72" t="str">
            <v/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>
            <v>23</v>
          </cell>
          <cell r="P74" t="str">
            <v/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/>
          </cell>
          <cell r="L75">
            <v>5000</v>
          </cell>
          <cell r="M75" t="str">
            <v/>
          </cell>
          <cell r="N75" t="str">
            <v/>
          </cell>
          <cell r="O75">
            <v>198.53</v>
          </cell>
          <cell r="P75" t="str">
            <v/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/>
          </cell>
          <cell r="L76">
            <v>85</v>
          </cell>
          <cell r="M76" t="str">
            <v/>
          </cell>
          <cell r="N76" t="str">
            <v/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/>
          </cell>
          <cell r="L77">
            <v>7484</v>
          </cell>
          <cell r="M77" t="str">
            <v/>
          </cell>
          <cell r="N77" t="str">
            <v/>
          </cell>
          <cell r="O77">
            <v>894.5</v>
          </cell>
          <cell r="P77" t="str">
            <v/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/>
          </cell>
          <cell r="L78">
            <v>300</v>
          </cell>
          <cell r="M78" t="str">
            <v/>
          </cell>
          <cell r="N78">
            <v>41.5</v>
          </cell>
          <cell r="O78">
            <v>245.6</v>
          </cell>
          <cell r="P78" t="str">
            <v/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/>
          </cell>
          <cell r="L79">
            <v>961</v>
          </cell>
          <cell r="M79" t="str">
            <v/>
          </cell>
          <cell r="N79" t="str">
            <v/>
          </cell>
          <cell r="O79">
            <v>157</v>
          </cell>
          <cell r="P79" t="str">
            <v/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/>
          </cell>
          <cell r="L80">
            <v>833</v>
          </cell>
          <cell r="M80" t="str">
            <v/>
          </cell>
          <cell r="N80" t="str">
            <v/>
          </cell>
          <cell r="O80">
            <v>20</v>
          </cell>
          <cell r="P80" t="str">
            <v/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/>
          </cell>
          <cell r="L81">
            <v>131.5</v>
          </cell>
          <cell r="M81" t="str">
            <v/>
          </cell>
          <cell r="N81">
            <v>197.33</v>
          </cell>
          <cell r="O81">
            <v>182.62</v>
          </cell>
          <cell r="P81" t="str">
            <v/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/>
          </cell>
          <cell r="L82">
            <v>1856.6</v>
          </cell>
          <cell r="M82" t="str">
            <v/>
          </cell>
          <cell r="N82" t="str">
            <v/>
          </cell>
          <cell r="O82">
            <v>174.68</v>
          </cell>
          <cell r="P82" t="str">
            <v/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/>
          </cell>
          <cell r="L83">
            <v>2917</v>
          </cell>
          <cell r="M83" t="str">
            <v/>
          </cell>
          <cell r="N83" t="str">
            <v/>
          </cell>
          <cell r="O83">
            <v>5</v>
          </cell>
          <cell r="P83" t="str">
            <v/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/>
          </cell>
          <cell r="L84">
            <v>10</v>
          </cell>
          <cell r="M84" t="str">
            <v/>
          </cell>
          <cell r="N84" t="str">
            <v/>
          </cell>
          <cell r="O84">
            <v>25</v>
          </cell>
          <cell r="P84" t="str">
            <v/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/>
          </cell>
          <cell r="L85">
            <v>900</v>
          </cell>
          <cell r="M85" t="str">
            <v/>
          </cell>
          <cell r="N85">
            <v>283.12</v>
          </cell>
          <cell r="O85">
            <v>226.55</v>
          </cell>
          <cell r="P85" t="str">
            <v/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64</v>
          </cell>
          <cell r="P86" t="str">
            <v/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/>
          </cell>
          <cell r="L87">
            <v>25</v>
          </cell>
          <cell r="M87" t="str">
            <v/>
          </cell>
          <cell r="N87">
            <v>92.7</v>
          </cell>
          <cell r="O87">
            <v>254.85</v>
          </cell>
          <cell r="P87" t="str">
            <v/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/>
          </cell>
          <cell r="L89">
            <v>6869.36</v>
          </cell>
          <cell r="M89" t="str">
            <v/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/>
          </cell>
          <cell r="L90">
            <v>39.1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/>
          </cell>
          <cell r="L91">
            <v>460.6</v>
          </cell>
          <cell r="M91" t="str">
            <v/>
          </cell>
          <cell r="N91" t="str">
            <v/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/>
          </cell>
          <cell r="L92">
            <v>50</v>
          </cell>
          <cell r="M92" t="str">
            <v/>
          </cell>
          <cell r="N92" t="str">
            <v/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/>
          </cell>
          <cell r="L93">
            <v>13332.47</v>
          </cell>
          <cell r="M93" t="str">
            <v/>
          </cell>
          <cell r="N93">
            <v>300</v>
          </cell>
          <cell r="O93">
            <v>4472.57</v>
          </cell>
          <cell r="P93" t="str">
            <v/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/>
          </cell>
          <cell r="L94">
            <v>2426.4</v>
          </cell>
          <cell r="M94" t="str">
            <v/>
          </cell>
          <cell r="N94" t="str">
            <v/>
          </cell>
          <cell r="O94">
            <v>350</v>
          </cell>
          <cell r="P94" t="str">
            <v/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/>
          </cell>
          <cell r="L95">
            <v>4185</v>
          </cell>
          <cell r="M95" t="str">
            <v/>
          </cell>
          <cell r="N95" t="str">
            <v/>
          </cell>
          <cell r="O95">
            <v>76.790000000000006</v>
          </cell>
          <cell r="P95" t="str">
            <v/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/>
          </cell>
          <cell r="L96">
            <v>384.5</v>
          </cell>
          <cell r="M96" t="str">
            <v/>
          </cell>
          <cell r="N96" t="str">
            <v/>
          </cell>
          <cell r="O96">
            <v>385</v>
          </cell>
          <cell r="P96" t="str">
            <v/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/>
          </cell>
          <cell r="L97">
            <v>1683</v>
          </cell>
          <cell r="M97" t="str">
            <v/>
          </cell>
          <cell r="N97" t="str">
            <v/>
          </cell>
          <cell r="O97">
            <v>200</v>
          </cell>
          <cell r="P97" t="str">
            <v/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/>
          </cell>
          <cell r="L100" t="str">
            <v/>
          </cell>
          <cell r="M100" t="str">
            <v/>
          </cell>
          <cell r="N100">
            <v>209.78</v>
          </cell>
          <cell r="O100">
            <v>111.41</v>
          </cell>
          <cell r="P100" t="str">
            <v/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>
            <v>15</v>
          </cell>
          <cell r="P101" t="str">
            <v/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/>
          </cell>
          <cell r="L102">
            <v>8404.8799999999992</v>
          </cell>
          <cell r="M102" t="str">
            <v/>
          </cell>
          <cell r="N102" t="str">
            <v/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/>
          </cell>
          <cell r="E103" t="str">
            <v/>
          </cell>
          <cell r="F103" t="str">
            <v/>
          </cell>
          <cell r="G103">
            <v>0</v>
          </cell>
          <cell r="H103">
            <v>0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/>
          </cell>
          <cell r="L104">
            <v>48.2</v>
          </cell>
          <cell r="M104" t="str">
            <v/>
          </cell>
          <cell r="N104" t="str">
            <v/>
          </cell>
          <cell r="O104">
            <v>2077.61</v>
          </cell>
          <cell r="P104" t="str">
            <v/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/>
          </cell>
          <cell r="L105">
            <v>1213.6099999999999</v>
          </cell>
          <cell r="M105" t="str">
            <v/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>
            <v>1250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/>
          </cell>
          <cell r="L108">
            <v>14.6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>
            <v>188</v>
          </cell>
          <cell r="P109" t="str">
            <v/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>
            <v>11</v>
          </cell>
          <cell r="P110" t="str">
            <v/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/>
          </cell>
          <cell r="L111">
            <v>95</v>
          </cell>
          <cell r="M111" t="str">
            <v/>
          </cell>
          <cell r="N111">
            <v>10.119999999999999</v>
          </cell>
          <cell r="O111">
            <v>356.72</v>
          </cell>
          <cell r="P111" t="str">
            <v/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88.8</v>
          </cell>
          <cell r="P112" t="str">
            <v/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/>
          </cell>
          <cell r="L113">
            <v>150</v>
          </cell>
          <cell r="M113" t="str">
            <v/>
          </cell>
          <cell r="N113" t="str">
            <v/>
          </cell>
          <cell r="O113">
            <v>68</v>
          </cell>
          <cell r="P113" t="str">
            <v/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Global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-Corrente2001 Revisao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Debt"/>
    </sheet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IMF"/>
      <sheetName val="WEO"/>
      <sheetName val="Panel1"/>
      <sheetName val="Tables_StaffReport"/>
      <sheetName val="T_MEI"/>
      <sheetName val="DSA"/>
      <sheetName val="CtryBrief1"/>
      <sheetName val="CtryBrief3"/>
      <sheetName val="CtyBrief4"/>
      <sheetName val="Key"/>
      <sheetName val="1Real"/>
      <sheetName val="2Fisc"/>
      <sheetName val="3Bop"/>
      <sheetName val="4Debt"/>
      <sheetName val="5Mon"/>
      <sheetName val="6Cotto"/>
      <sheetName val="WETA"/>
      <sheetName val="K-Budg"/>
      <sheetName val="L-BOP"/>
      <sheetName val="L-Mon"/>
      <sheetName val="M-Debt"/>
      <sheetName val="N"/>
      <sheetName val="Basic Data"/>
      <sheetName val="Main"/>
      <sheetName val="CHECK"/>
      <sheetName val="Data_Graph"/>
      <sheetName val="Figure1"/>
      <sheetName val="Figure2"/>
      <sheetName val="T_PRGF"/>
      <sheetName val="Fund"/>
      <sheetName val="T_Fund"/>
      <sheetName val="T7"/>
      <sheetName val="T8"/>
      <sheetName val="T9"/>
      <sheetName val="T_WAEMU"/>
      <sheetName val="T_MDG"/>
      <sheetName val="T_MEI (2)"/>
      <sheetName val="C-MEI"/>
      <sheetName val="T10"/>
      <sheetName val="CtryBrief"/>
      <sheetName val="D"/>
      <sheetName val="E"/>
      <sheetName val="F"/>
      <sheetName val="G"/>
      <sheetName val="H"/>
      <sheetName val="J"/>
      <sheetName val="T2"/>
      <sheetName val="T11"/>
      <sheetName val="T1"/>
      <sheetName val="Sheet1"/>
      <sheetName val="Structu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tors of Fund credit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1"/>
      <sheetName val="22"/>
      <sheetName val="23"/>
      <sheetName val="24"/>
      <sheetName val="26"/>
      <sheetName val="27"/>
      <sheetName val="28"/>
      <sheetName val="comex1"/>
    </sheetNames>
    <sheetDataSet>
      <sheetData sheetId="0" refreshError="1">
        <row r="1">
          <cell r="A1" t="str">
            <v>Table 4.  Zambia:  Gross Domestic Product by Sector of Origin at Current Prices, 1994-99</v>
          </cell>
        </row>
      </sheetData>
      <sheetData sheetId="1" refreshError="1">
        <row r="1">
          <cell r="A1" t="str">
            <v>Table 5.  Zambia:  Marketed Production of Selected Agricultural Crops, 1993/94 - 1998/99 1 /</v>
          </cell>
        </row>
      </sheetData>
      <sheetData sheetId="2" refreshError="1">
        <row r="1">
          <cell r="A1" t="str">
            <v>Table 6.  Zambia:  Index of Industrial Production, 1990-99</v>
          </cell>
        </row>
      </sheetData>
      <sheetData sheetId="3" refreshError="1"/>
      <sheetData sheetId="4" refreshError="1"/>
      <sheetData sheetId="5" refreshError="1"/>
      <sheetData sheetId="6" refreshError="1">
        <row r="1">
          <cell r="A1" t="str">
            <v>Table 10.  Zambia:  Index of Retail Prices, 1990-99</v>
          </cell>
        </row>
      </sheetData>
      <sheetData sheetId="7" refreshError="1">
        <row r="1">
          <cell r="A1" t="str">
            <v>Table 13. Zambia: Selected Exchange Rate Indicators, 1994: Q1-1999:Q4</v>
          </cell>
        </row>
      </sheetData>
      <sheetData sheetId="8" refreshError="1"/>
      <sheetData sheetId="9" refreshError="1"/>
      <sheetData sheetId="10" refreshError="1"/>
      <sheetData sheetId="11" refreshError="1">
        <row r="1">
          <cell r="A1" t="str">
            <v>Table 17.  Zambia:  Foreign Trade Volume and Unit Value, 1990-99</v>
          </cell>
        </row>
      </sheetData>
      <sheetData sheetId="12" refreshError="1"/>
      <sheetData sheetId="13" refreshError="1">
        <row r="1">
          <cell r="A1" t="str">
            <v>Table 19.  Zambia:   Scheduled External Debt Service Payments, 1994-99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Table 28.  Zambia:  Structure of Interest Rates, 1994-99</v>
          </cell>
        </row>
      </sheetData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"/>
      <sheetName val="5"/>
      <sheetName val="10"/>
      <sheetName val="6"/>
      <sheetName val="19"/>
      <sheetName val="4"/>
      <sheetName val="28"/>
      <sheetName val="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_base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eses"/>
      <sheetName val="BE"/>
      <sheetName val="Sortie TaBEN"/>
      <sheetName val="Indicateurs"/>
      <sheetName val="Noyau"/>
      <sheetName val="Répartition Revenu"/>
      <sheetName val="Bilan alimentaire"/>
      <sheetName val="PIP &amp; Dépenses ordinaires"/>
      <sheetName val="Depenses détaillées"/>
      <sheetName val="DémoII - projection et synthèse"/>
      <sheetName val="TES 1997"/>
      <sheetName val="TES 1998"/>
      <sheetName val="TES 2000"/>
      <sheetName val="PIB courant"/>
      <sheetName val="Equil emp-res"/>
      <sheetName val="Epar-Inv"/>
      <sheetName val="TOFE Rec-dép"/>
      <sheetName val="TOFE Fin"/>
      <sheetName val="bal des paie"/>
      <sheetName val="monnaie"/>
      <sheetName val="DémoI - Données de base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D70">
            <v>4705806.3089558631</v>
          </cell>
          <cell r="E70">
            <v>4340941.763453356</v>
          </cell>
          <cell r="F70">
            <v>3844137.8551025223</v>
          </cell>
          <cell r="G70">
            <v>3509186.964748635</v>
          </cell>
          <cell r="H70">
            <v>3446537.7479086006</v>
          </cell>
          <cell r="I70">
            <v>3437162.9639086006</v>
          </cell>
          <cell r="J70">
            <v>3560480.7863356001</v>
          </cell>
          <cell r="K70">
            <v>3542403.1097903927</v>
          </cell>
          <cell r="L70">
            <v>3513124.4916536734</v>
          </cell>
          <cell r="M70">
            <v>3903889.9881826392</v>
          </cell>
          <cell r="N70">
            <v>4285471.2163100252</v>
          </cell>
          <cell r="O70">
            <v>4776276.5107750911</v>
          </cell>
          <cell r="P70">
            <v>5841970.612578948</v>
          </cell>
          <cell r="Q70">
            <v>7272200.54128017</v>
          </cell>
          <cell r="R70">
            <v>9076993.0097076613</v>
          </cell>
          <cell r="S70">
            <v>11426251.612919573</v>
          </cell>
          <cell r="T70">
            <v>14495552.887499876</v>
          </cell>
          <cell r="U70">
            <v>18291715.371724527</v>
          </cell>
        </row>
        <row r="71">
          <cell r="D71">
            <v>2365508.7555025062</v>
          </cell>
          <cell r="E71">
            <v>2456168.5783508345</v>
          </cell>
          <cell r="F71">
            <v>2521998.5703538866</v>
          </cell>
          <cell r="G71">
            <v>2624347.5658400343</v>
          </cell>
          <cell r="H71">
            <v>2658516.34</v>
          </cell>
          <cell r="I71">
            <v>2757291.0695730005</v>
          </cell>
          <cell r="J71">
            <v>2869734.3235452077</v>
          </cell>
          <cell r="K71">
            <v>2964597.3231367185</v>
          </cell>
          <cell r="L71">
            <v>3067061.728439034</v>
          </cell>
          <cell r="M71">
            <v>3234383.7217126149</v>
          </cell>
          <cell r="N71">
            <v>3352157.3433749327</v>
          </cell>
          <cell r="O71">
            <v>3495150.2059999988</v>
          </cell>
          <cell r="P71">
            <v>3690795.7782504568</v>
          </cell>
          <cell r="Q71">
            <v>3862032.7742640958</v>
          </cell>
          <cell r="R71">
            <v>4030692.4231014964</v>
          </cell>
          <cell r="S71">
            <v>4227285.6448669033</v>
          </cell>
          <cell r="T71">
            <v>4462715.8032493573</v>
          </cell>
          <cell r="U71">
            <v>4707423.2845495166</v>
          </cell>
        </row>
        <row r="72">
          <cell r="D72">
            <v>511949.32804207609</v>
          </cell>
          <cell r="E72">
            <v>527934.40555040142</v>
          </cell>
          <cell r="F72">
            <v>543124.68336023914</v>
          </cell>
          <cell r="G72">
            <v>561350.36758108682</v>
          </cell>
          <cell r="H72">
            <v>571148.79</v>
          </cell>
          <cell r="I72">
            <v>589285.921768</v>
          </cell>
          <cell r="J72">
            <v>611036.88866610639</v>
          </cell>
          <cell r="K72">
            <v>628423.32301102171</v>
          </cell>
          <cell r="L72">
            <v>648592.91635927767</v>
          </cell>
          <cell r="M72">
            <v>673768.53886268241</v>
          </cell>
          <cell r="N72">
            <v>694489.00924894714</v>
          </cell>
          <cell r="O72">
            <v>724250.54599999986</v>
          </cell>
          <cell r="P72">
            <v>745256.02814118494</v>
          </cell>
          <cell r="Q72">
            <v>767679.04794345412</v>
          </cell>
          <cell r="R72">
            <v>789338.21996280993</v>
          </cell>
          <cell r="S72">
            <v>812684.25167592452</v>
          </cell>
          <cell r="T72">
            <v>836921.52664001158</v>
          </cell>
          <cell r="U72">
            <v>862458.14862845186</v>
          </cell>
        </row>
        <row r="73">
          <cell r="D73">
            <v>342987.8102960331</v>
          </cell>
          <cell r="E73">
            <v>353408.28827035811</v>
          </cell>
          <cell r="F73">
            <v>363718.48966087447</v>
          </cell>
          <cell r="G73">
            <v>375418.47775519203</v>
          </cell>
          <cell r="H73">
            <v>382453.005</v>
          </cell>
          <cell r="I73">
            <v>395076.55698749999</v>
          </cell>
          <cell r="J73">
            <v>410643.94517819624</v>
          </cell>
          <cell r="K73">
            <v>421245.97299845202</v>
          </cell>
          <cell r="L73">
            <v>435328.85515130206</v>
          </cell>
          <cell r="M73">
            <v>453210.18057768908</v>
          </cell>
          <cell r="N73">
            <v>466004.1758363485</v>
          </cell>
          <cell r="O73">
            <v>487527.19499999983</v>
          </cell>
          <cell r="P73">
            <v>500207.6031302578</v>
          </cell>
          <cell r="Q73">
            <v>515255.26926239557</v>
          </cell>
          <cell r="R73">
            <v>529458.16447511862</v>
          </cell>
          <cell r="S73">
            <v>545055.00470888091</v>
          </cell>
          <cell r="T73">
            <v>560659.29037484876</v>
          </cell>
          <cell r="U73">
            <v>577420.20425293921</v>
          </cell>
        </row>
        <row r="74">
          <cell r="D74">
            <v>102904.89568683639</v>
          </cell>
          <cell r="E74">
            <v>106388.71162597171</v>
          </cell>
          <cell r="F74">
            <v>109122.45976718984</v>
          </cell>
          <cell r="G74">
            <v>113434.21827485634</v>
          </cell>
          <cell r="H74">
            <v>114962.46</v>
          </cell>
          <cell r="I74">
            <v>118094.453383</v>
          </cell>
          <cell r="J74">
            <v>121819.52045227091</v>
          </cell>
          <cell r="K74">
            <v>126066.00541287925</v>
          </cell>
          <cell r="L74">
            <v>129532.82017771526</v>
          </cell>
          <cell r="M74">
            <v>134122.59816945548</v>
          </cell>
          <cell r="N74">
            <v>139257.19824532891</v>
          </cell>
          <cell r="O74">
            <v>143915.75599999999</v>
          </cell>
          <cell r="P74">
            <v>149569.92838487559</v>
          </cell>
          <cell r="Q74">
            <v>154307.67441870458</v>
          </cell>
          <cell r="R74">
            <v>159124.42288724479</v>
          </cell>
          <cell r="S74">
            <v>164094.65903206996</v>
          </cell>
          <cell r="T74">
            <v>169820.81485267705</v>
          </cell>
          <cell r="U74">
            <v>175567.28567306808</v>
          </cell>
        </row>
        <row r="75">
          <cell r="D75">
            <v>66056.622059206624</v>
          </cell>
          <cell r="E75">
            <v>68137.405654071612</v>
          </cell>
          <cell r="F75">
            <v>70283.733932174888</v>
          </cell>
          <cell r="G75">
            <v>72497.671551038409</v>
          </cell>
          <cell r="H75">
            <v>73733.324999999997</v>
          </cell>
          <cell r="I75">
            <v>76114.911397500007</v>
          </cell>
          <cell r="J75">
            <v>78573.423035639251</v>
          </cell>
          <cell r="K75">
            <v>81111.344599690405</v>
          </cell>
          <cell r="L75">
            <v>83731.241030260397</v>
          </cell>
          <cell r="M75">
            <v>86435.760115537822</v>
          </cell>
          <cell r="N75">
            <v>89227.635167269691</v>
          </cell>
          <cell r="O75">
            <v>92807.594999999972</v>
          </cell>
          <cell r="P75">
            <v>95478.49662605155</v>
          </cell>
          <cell r="Q75">
            <v>98116.104262353954</v>
          </cell>
          <cell r="R75">
            <v>100755.63260044651</v>
          </cell>
          <cell r="S75">
            <v>103534.58793497359</v>
          </cell>
          <cell r="T75">
            <v>106441.4214124858</v>
          </cell>
          <cell r="U75">
            <v>109470.65870244455</v>
          </cell>
        </row>
        <row r="76">
          <cell r="D76">
            <v>1752272.6069696466</v>
          </cell>
          <cell r="E76">
            <v>1823756.8174641901</v>
          </cell>
          <cell r="F76">
            <v>1871105.4949643125</v>
          </cell>
          <cell r="G76">
            <v>1951834.1018806887</v>
          </cell>
          <cell r="H76">
            <v>1974309.7849999999</v>
          </cell>
          <cell r="I76">
            <v>2051295.6169955002</v>
          </cell>
          <cell r="J76">
            <v>2138218.1862244545</v>
          </cell>
          <cell r="K76">
            <v>2211803.2717395048</v>
          </cell>
          <cell r="L76">
            <v>2290080.9091666909</v>
          </cell>
          <cell r="M76">
            <v>2428080.3506727745</v>
          </cell>
          <cell r="N76">
            <v>2520852.6268695053</v>
          </cell>
          <cell r="O76">
            <v>2628594.6809999994</v>
          </cell>
          <cell r="P76">
            <v>2799139.3886159924</v>
          </cell>
          <cell r="Q76">
            <v>2943909.0331183658</v>
          </cell>
          <cell r="R76">
            <v>3086862.2331513353</v>
          </cell>
          <cell r="S76">
            <v>3255848.3583573531</v>
          </cell>
          <cell r="T76">
            <v>3462584.0971102011</v>
          </cell>
          <cell r="U76">
            <v>3677110.1259106495</v>
          </cell>
        </row>
        <row r="77">
          <cell r="D77">
            <v>708739.07255259517</v>
          </cell>
          <cell r="E77">
            <v>736940.01943800179</v>
          </cell>
          <cell r="F77">
            <v>760593.01670029899</v>
          </cell>
          <cell r="G77">
            <v>794399.03447635856</v>
          </cell>
          <cell r="H77">
            <v>800663.6</v>
          </cell>
          <cell r="I77">
            <v>828914.73971000011</v>
          </cell>
          <cell r="J77">
            <v>860528.84833263303</v>
          </cell>
          <cell r="K77">
            <v>884242.11626377713</v>
          </cell>
          <cell r="L77">
            <v>916098.58294909715</v>
          </cell>
          <cell r="M77">
            <v>947501.46107835299</v>
          </cell>
          <cell r="N77">
            <v>991161.26156118384</v>
          </cell>
          <cell r="O77">
            <v>1030905.1199999998</v>
          </cell>
          <cell r="P77">
            <v>1070030.6351764812</v>
          </cell>
          <cell r="Q77">
            <v>1107832.4635685922</v>
          </cell>
          <cell r="R77">
            <v>1147987.6026995685</v>
          </cell>
          <cell r="S77">
            <v>1188459.5630734013</v>
          </cell>
          <cell r="T77">
            <v>1232840.7863027523</v>
          </cell>
          <cell r="U77">
            <v>1279195.4821926334</v>
          </cell>
        </row>
        <row r="78">
          <cell r="D78">
            <v>990688.23676968599</v>
          </cell>
          <cell r="E78">
            <v>1032306.8735029311</v>
          </cell>
          <cell r="F78">
            <v>1054285.4911182737</v>
          </cell>
          <cell r="G78">
            <v>1099436.9301634994</v>
          </cell>
          <cell r="H78">
            <v>1114659.5249999999</v>
          </cell>
          <cell r="I78">
            <v>1161488.9481675001</v>
          </cell>
          <cell r="J78">
            <v>1214830.5994633103</v>
          </cell>
          <cell r="K78">
            <v>1262672.0797959752</v>
          </cell>
          <cell r="L78">
            <v>1306997.3333933852</v>
          </cell>
          <cell r="M78">
            <v>1411430.2815019914</v>
          </cell>
          <cell r="N78">
            <v>1458309.2571745059</v>
          </cell>
          <cell r="O78">
            <v>1523443.4849999996</v>
          </cell>
          <cell r="P78">
            <v>1652725.9561386702</v>
          </cell>
          <cell r="Q78">
            <v>1757583.68613989</v>
          </cell>
          <cell r="R78">
            <v>1858270.1243714094</v>
          </cell>
          <cell r="S78">
            <v>1984561.124935973</v>
          </cell>
          <cell r="T78">
            <v>2144590.1736774603</v>
          </cell>
          <cell r="U78">
            <v>2310338.1167560602</v>
          </cell>
        </row>
        <row r="79">
          <cell r="D79">
            <v>52845.297647365296</v>
          </cell>
          <cell r="E79">
            <v>54509.924523257301</v>
          </cell>
          <cell r="F79">
            <v>56226.987145739913</v>
          </cell>
          <cell r="G79">
            <v>57998.137240830729</v>
          </cell>
          <cell r="H79">
            <v>58986.66</v>
          </cell>
          <cell r="I79">
            <v>60891.929118</v>
          </cell>
          <cell r="J79">
            <v>62858.738428511402</v>
          </cell>
          <cell r="K79">
            <v>64889.075679752321</v>
          </cell>
          <cell r="L79">
            <v>66984.992824208326</v>
          </cell>
          <cell r="M79">
            <v>69148.608092430251</v>
          </cell>
          <cell r="N79">
            <v>71382.108133815753</v>
          </cell>
          <cell r="O79">
            <v>74246.075999999972</v>
          </cell>
          <cell r="P79">
            <v>76382.797300841237</v>
          </cell>
          <cell r="Q79">
            <v>78492.883409883172</v>
          </cell>
          <cell r="R79">
            <v>80604.506080357212</v>
          </cell>
          <cell r="S79">
            <v>82827.67034797887</v>
          </cell>
          <cell r="T79">
            <v>85153.137129988638</v>
          </cell>
          <cell r="U79">
            <v>87576.526961955635</v>
          </cell>
        </row>
        <row r="80">
          <cell r="D80">
            <v>44037.748039471073</v>
          </cell>
          <cell r="E80">
            <v>45424.937102714415</v>
          </cell>
          <cell r="F80">
            <v>46855.82262144993</v>
          </cell>
          <cell r="G80">
            <v>48331.781034025611</v>
          </cell>
          <cell r="H80">
            <v>49155.55</v>
          </cell>
          <cell r="I80">
            <v>50743.274265</v>
          </cell>
          <cell r="J80">
            <v>52382.282023759501</v>
          </cell>
          <cell r="K80">
            <v>54074.229733126936</v>
          </cell>
          <cell r="L80">
            <v>55820.827353506938</v>
          </cell>
          <cell r="M80">
            <v>57623.840077025212</v>
          </cell>
          <cell r="N80">
            <v>59485.090111513127</v>
          </cell>
          <cell r="O80">
            <v>61871.729999999989</v>
          </cell>
          <cell r="P80">
            <v>63652.331084034369</v>
          </cell>
          <cell r="Q80">
            <v>65410.736174902631</v>
          </cell>
          <cell r="R80">
            <v>67170.42173363101</v>
          </cell>
          <cell r="S80">
            <v>69023.058623315723</v>
          </cell>
          <cell r="T80">
            <v>70960.947608323855</v>
          </cell>
          <cell r="U80">
            <v>72980.439134963031</v>
          </cell>
        </row>
        <row r="81">
          <cell r="D81">
            <v>57249.072451312401</v>
          </cell>
          <cell r="E81">
            <v>59052.418233528741</v>
          </cell>
          <cell r="F81">
            <v>60912.569407884912</v>
          </cell>
          <cell r="G81">
            <v>62831.315344233291</v>
          </cell>
          <cell r="H81">
            <v>63902.214999999997</v>
          </cell>
          <cell r="I81">
            <v>65966.256544500007</v>
          </cell>
          <cell r="J81">
            <v>68096.966630887357</v>
          </cell>
          <cell r="K81">
            <v>70296.498653065006</v>
          </cell>
          <cell r="L81">
            <v>72567.075559559016</v>
          </cell>
          <cell r="M81">
            <v>74910.992100132775</v>
          </cell>
          <cell r="N81">
            <v>77330.617144967066</v>
          </cell>
          <cell r="O81">
            <v>80433.248999999967</v>
          </cell>
          <cell r="P81">
            <v>82748.03040924469</v>
          </cell>
          <cell r="Q81">
            <v>85033.957027373428</v>
          </cell>
          <cell r="R81">
            <v>87321.548253720306</v>
          </cell>
          <cell r="S81">
            <v>89729.976210310444</v>
          </cell>
          <cell r="T81">
            <v>92249.231890821029</v>
          </cell>
          <cell r="U81">
            <v>94874.570875451944</v>
          </cell>
        </row>
        <row r="82">
          <cell r="D82">
            <v>2122619.4555025063</v>
          </cell>
          <cell r="E82">
            <v>2189481.9683508347</v>
          </cell>
          <cell r="F82">
            <v>2258450.6503538862</v>
          </cell>
          <cell r="G82">
            <v>2329591.8458400345</v>
          </cell>
          <cell r="H82">
            <v>2369297.5099999993</v>
          </cell>
          <cell r="I82">
            <v>2445825.8195730001</v>
          </cell>
          <cell r="J82">
            <v>2524825.9935452081</v>
          </cell>
          <cell r="K82">
            <v>2606377.8731367183</v>
          </cell>
          <cell r="L82">
            <v>2690563.8784390339</v>
          </cell>
          <cell r="M82">
            <v>2777469.091712615</v>
          </cell>
          <cell r="N82">
            <v>2867181.3433749327</v>
          </cell>
          <cell r="O82">
            <v>2982217.385999999</v>
          </cell>
          <cell r="P82">
            <v>3068042.3582504569</v>
          </cell>
          <cell r="Q82">
            <v>3152797.483630307</v>
          </cell>
          <cell r="R82">
            <v>3237614.3275610148</v>
          </cell>
          <cell r="S82">
            <v>3326911.425643818</v>
          </cell>
          <cell r="T82">
            <v>3420317.6747212093</v>
          </cell>
          <cell r="U82">
            <v>3517657.1663052184</v>
          </cell>
        </row>
        <row r="83">
          <cell r="D83">
            <v>493222.77804207604</v>
          </cell>
          <cell r="E83">
            <v>508759.29555040144</v>
          </cell>
          <cell r="F83">
            <v>524785.21336023917</v>
          </cell>
          <cell r="G83">
            <v>541315.94758108677</v>
          </cell>
          <cell r="H83">
            <v>550542.16</v>
          </cell>
          <cell r="I83">
            <v>568324.671768</v>
          </cell>
          <cell r="J83">
            <v>586681.55866610643</v>
          </cell>
          <cell r="K83">
            <v>605631.37301102164</v>
          </cell>
          <cell r="L83">
            <v>625193.26635927777</v>
          </cell>
          <cell r="M83">
            <v>645387.00886268239</v>
          </cell>
          <cell r="N83">
            <v>666233.00924894714</v>
          </cell>
          <cell r="O83">
            <v>692963.37599999981</v>
          </cell>
          <cell r="P83">
            <v>712906.10814118502</v>
          </cell>
          <cell r="Q83">
            <v>732600.24515890959</v>
          </cell>
          <cell r="R83">
            <v>752308.7234166672</v>
          </cell>
          <cell r="S83">
            <v>773058.25658113626</v>
          </cell>
          <cell r="T83">
            <v>794762.61321322725</v>
          </cell>
          <cell r="U83">
            <v>817380.91831158602</v>
          </cell>
        </row>
        <row r="84">
          <cell r="D84">
            <v>330283.11029603309</v>
          </cell>
          <cell r="E84">
            <v>340687.0282703581</v>
          </cell>
          <cell r="F84">
            <v>351418.66966087447</v>
          </cell>
          <cell r="G84">
            <v>362488.35775519203</v>
          </cell>
          <cell r="H84">
            <v>368666.625</v>
          </cell>
          <cell r="I84">
            <v>380574.55698749999</v>
          </cell>
          <cell r="J84">
            <v>392867.11517819623</v>
          </cell>
          <cell r="K84">
            <v>405556.72299845202</v>
          </cell>
          <cell r="L84">
            <v>418656.20515130204</v>
          </cell>
          <cell r="M84">
            <v>432178.80057768908</v>
          </cell>
          <cell r="N84">
            <v>446138.1758363485</v>
          </cell>
          <cell r="O84">
            <v>464037.97499999986</v>
          </cell>
          <cell r="P84">
            <v>477392.48313025781</v>
          </cell>
          <cell r="Q84">
            <v>490580.52131176979</v>
          </cell>
          <cell r="R84">
            <v>503778.16300223256</v>
          </cell>
          <cell r="S84">
            <v>517672.93967486802</v>
          </cell>
          <cell r="T84">
            <v>532207.10706242896</v>
          </cell>
          <cell r="U84">
            <v>547353.29351222282</v>
          </cell>
        </row>
        <row r="85">
          <cell r="D85">
            <v>96883.045686836384</v>
          </cell>
          <cell r="E85">
            <v>99934.861625971709</v>
          </cell>
          <cell r="F85">
            <v>103082.80976718984</v>
          </cell>
          <cell r="G85">
            <v>106329.91827485633</v>
          </cell>
          <cell r="H85">
            <v>108142.21</v>
          </cell>
          <cell r="I85">
            <v>111635.203383</v>
          </cell>
          <cell r="J85">
            <v>115241.02045227091</v>
          </cell>
          <cell r="K85">
            <v>118963.30541287926</v>
          </cell>
          <cell r="L85">
            <v>122805.82017771526</v>
          </cell>
          <cell r="M85">
            <v>126772.44816945547</v>
          </cell>
          <cell r="N85">
            <v>130867.19824532889</v>
          </cell>
          <cell r="O85">
            <v>136117.80599999998</v>
          </cell>
          <cell r="P85">
            <v>140035.1283848756</v>
          </cell>
          <cell r="Q85">
            <v>143903.6195847858</v>
          </cell>
          <cell r="R85">
            <v>147774.92781398821</v>
          </cell>
          <cell r="S85">
            <v>151850.72897129462</v>
          </cell>
          <cell r="T85">
            <v>156114.08473831249</v>
          </cell>
          <cell r="U85">
            <v>160556.96609691868</v>
          </cell>
        </row>
        <row r="86">
          <cell r="D86">
            <v>66056.622059206624</v>
          </cell>
          <cell r="E86">
            <v>68137.405654071612</v>
          </cell>
          <cell r="F86">
            <v>70283.733932174888</v>
          </cell>
          <cell r="G86">
            <v>72497.671551038409</v>
          </cell>
          <cell r="H86">
            <v>73733.324999999997</v>
          </cell>
          <cell r="I86">
            <v>76114.911397500007</v>
          </cell>
          <cell r="J86">
            <v>78573.423035639251</v>
          </cell>
          <cell r="K86">
            <v>81111.344599690405</v>
          </cell>
          <cell r="L86">
            <v>83731.241030260397</v>
          </cell>
          <cell r="M86">
            <v>86435.760115537822</v>
          </cell>
          <cell r="N86">
            <v>89227.635167269691</v>
          </cell>
          <cell r="O86">
            <v>92807.594999999972</v>
          </cell>
          <cell r="P86">
            <v>95478.49662605155</v>
          </cell>
          <cell r="Q86">
            <v>98116.104262353954</v>
          </cell>
          <cell r="R86">
            <v>100755.63260044651</v>
          </cell>
          <cell r="S86">
            <v>103534.58793497359</v>
          </cell>
          <cell r="T86">
            <v>106441.4214124858</v>
          </cell>
          <cell r="U86">
            <v>109470.65870244455</v>
          </cell>
        </row>
        <row r="87">
          <cell r="D87">
            <v>1528109.8569696466</v>
          </cell>
          <cell r="E87">
            <v>1576245.3174641901</v>
          </cell>
          <cell r="F87">
            <v>1625897.0449643123</v>
          </cell>
          <cell r="G87">
            <v>1677112.8018806889</v>
          </cell>
          <cell r="H87">
            <v>1705697.5849999997</v>
          </cell>
          <cell r="I87">
            <v>1760791.6169954999</v>
          </cell>
          <cell r="J87">
            <v>1817665.1862244548</v>
          </cell>
          <cell r="K87">
            <v>1876375.7717395045</v>
          </cell>
          <cell r="L87">
            <v>1936982.7091666905</v>
          </cell>
          <cell r="M87">
            <v>1999547.2506727746</v>
          </cell>
          <cell r="N87">
            <v>2064132.6268695053</v>
          </cell>
          <cell r="O87">
            <v>2146949.0309999995</v>
          </cell>
          <cell r="P87">
            <v>2208735.8886159924</v>
          </cell>
          <cell r="Q87">
            <v>2269752.5452691219</v>
          </cell>
          <cell r="R87">
            <v>2330813.6341569964</v>
          </cell>
          <cell r="S87">
            <v>2395100.1342290556</v>
          </cell>
          <cell r="T87">
            <v>2462344.8820088375</v>
          </cell>
          <cell r="U87">
            <v>2532421.2379832175</v>
          </cell>
        </row>
        <row r="88">
          <cell r="D88">
            <v>616528.47255259519</v>
          </cell>
          <cell r="E88">
            <v>635949.11943800177</v>
          </cell>
          <cell r="F88">
            <v>655981.51670029899</v>
          </cell>
          <cell r="G88">
            <v>676644.93447635858</v>
          </cell>
          <cell r="H88">
            <v>688177.7</v>
          </cell>
          <cell r="I88">
            <v>710405.83971000009</v>
          </cell>
          <cell r="J88">
            <v>733351.94833263301</v>
          </cell>
          <cell r="K88">
            <v>757039.21626377711</v>
          </cell>
          <cell r="L88">
            <v>781491.58294909715</v>
          </cell>
          <cell r="M88">
            <v>806733.76107835292</v>
          </cell>
          <cell r="N88">
            <v>832791.26156118384</v>
          </cell>
          <cell r="O88">
            <v>866204.21999999974</v>
          </cell>
          <cell r="P88">
            <v>891132.6351764811</v>
          </cell>
          <cell r="Q88">
            <v>915750.30644863693</v>
          </cell>
          <cell r="R88">
            <v>940385.90427083406</v>
          </cell>
          <cell r="S88">
            <v>966322.82072642015</v>
          </cell>
          <cell r="T88">
            <v>993453.26651653415</v>
          </cell>
          <cell r="U88">
            <v>1021726.1478894826</v>
          </cell>
        </row>
        <row r="89">
          <cell r="D89">
            <v>858736.08676968596</v>
          </cell>
          <cell r="E89">
            <v>885786.27350293112</v>
          </cell>
          <cell r="F89">
            <v>913688.54111827363</v>
          </cell>
          <cell r="G89">
            <v>942469.73016349936</v>
          </cell>
          <cell r="H89">
            <v>958533.22499999998</v>
          </cell>
          <cell r="I89">
            <v>989493.84816749999</v>
          </cell>
          <cell r="J89">
            <v>1021454.4994633103</v>
          </cell>
          <cell r="K89">
            <v>1054447.4797959751</v>
          </cell>
          <cell r="L89">
            <v>1088506.1333933852</v>
          </cell>
          <cell r="M89">
            <v>1123664.8815019915</v>
          </cell>
          <cell r="N89">
            <v>1159959.2571745059</v>
          </cell>
          <cell r="O89">
            <v>1206498.7349999996</v>
          </cell>
          <cell r="P89">
            <v>1241220.4561386702</v>
          </cell>
          <cell r="Q89">
            <v>1275509.3554106015</v>
          </cell>
          <cell r="R89">
            <v>1309823.2238058047</v>
          </cell>
          <cell r="S89">
            <v>1345949.6431546567</v>
          </cell>
          <cell r="T89">
            <v>1383738.4783623151</v>
          </cell>
          <cell r="U89">
            <v>1423118.5631317792</v>
          </cell>
        </row>
        <row r="90">
          <cell r="D90">
            <v>52845.297647365296</v>
          </cell>
          <cell r="E90">
            <v>54509.924523257301</v>
          </cell>
          <cell r="F90">
            <v>56226.987145739913</v>
          </cell>
          <cell r="G90">
            <v>57998.137240830729</v>
          </cell>
          <cell r="H90">
            <v>58986.66</v>
          </cell>
          <cell r="I90">
            <v>60891.929118</v>
          </cell>
          <cell r="J90">
            <v>62858.738428511402</v>
          </cell>
          <cell r="K90">
            <v>64889.075679752321</v>
          </cell>
          <cell r="L90">
            <v>66984.992824208326</v>
          </cell>
          <cell r="M90">
            <v>69148.608092430251</v>
          </cell>
          <cell r="N90">
            <v>71382.108133815753</v>
          </cell>
          <cell r="O90">
            <v>74246.075999999972</v>
          </cell>
          <cell r="P90">
            <v>76382.797300841237</v>
          </cell>
          <cell r="Q90">
            <v>78492.883409883172</v>
          </cell>
          <cell r="R90">
            <v>80604.506080357212</v>
          </cell>
          <cell r="S90">
            <v>82827.67034797887</v>
          </cell>
          <cell r="T90">
            <v>85153.137129988638</v>
          </cell>
          <cell r="U90">
            <v>87576.526961955635</v>
          </cell>
        </row>
        <row r="91">
          <cell r="D91">
            <v>44037.748039471073</v>
          </cell>
          <cell r="E91">
            <v>45424.937102714415</v>
          </cell>
          <cell r="F91">
            <v>46855.82262144993</v>
          </cell>
          <cell r="G91">
            <v>48331.781034025611</v>
          </cell>
          <cell r="H91">
            <v>49155.55</v>
          </cell>
          <cell r="I91">
            <v>50743.274265</v>
          </cell>
          <cell r="J91">
            <v>52382.282023759501</v>
          </cell>
          <cell r="K91">
            <v>54074.229733126936</v>
          </cell>
          <cell r="L91">
            <v>55820.827353506938</v>
          </cell>
          <cell r="M91">
            <v>57623.840077025212</v>
          </cell>
          <cell r="N91">
            <v>59485.090111513127</v>
          </cell>
          <cell r="O91">
            <v>61871.729999999989</v>
          </cell>
          <cell r="P91">
            <v>63652.331084034369</v>
          </cell>
          <cell r="Q91">
            <v>65410.736174902631</v>
          </cell>
          <cell r="R91">
            <v>67170.42173363101</v>
          </cell>
          <cell r="S91">
            <v>69023.058623315723</v>
          </cell>
          <cell r="T91">
            <v>70960.947608323855</v>
          </cell>
          <cell r="U91">
            <v>72980.439134963031</v>
          </cell>
        </row>
        <row r="92">
          <cell r="D92">
            <v>57249.072451312401</v>
          </cell>
          <cell r="E92">
            <v>59052.418233528741</v>
          </cell>
          <cell r="F92">
            <v>60912.569407884912</v>
          </cell>
          <cell r="G92">
            <v>62831.315344233291</v>
          </cell>
          <cell r="H92">
            <v>63902.214999999997</v>
          </cell>
          <cell r="I92">
            <v>65966.256544500007</v>
          </cell>
          <cell r="J92">
            <v>68096.966630887357</v>
          </cell>
          <cell r="K92">
            <v>70296.498653065006</v>
          </cell>
          <cell r="L92">
            <v>72567.075559559016</v>
          </cell>
          <cell r="M92">
            <v>74910.992100132775</v>
          </cell>
          <cell r="N92">
            <v>77330.617144967066</v>
          </cell>
          <cell r="O92">
            <v>80433.248999999967</v>
          </cell>
          <cell r="P92">
            <v>82748.03040924469</v>
          </cell>
          <cell r="Q92">
            <v>85033.957027373428</v>
          </cell>
          <cell r="R92">
            <v>87321.548253720306</v>
          </cell>
          <cell r="S92">
            <v>89729.976210310444</v>
          </cell>
          <cell r="T92">
            <v>92249.231890821029</v>
          </cell>
          <cell r="U92">
            <v>94874.570875451944</v>
          </cell>
        </row>
        <row r="93">
          <cell r="D93">
            <v>242889.3</v>
          </cell>
          <cell r="E93">
            <v>266686.61</v>
          </cell>
          <cell r="F93">
            <v>263547.92</v>
          </cell>
          <cell r="G93">
            <v>294755.71999999997</v>
          </cell>
          <cell r="H93">
            <v>289218.83</v>
          </cell>
          <cell r="I93">
            <v>311465.25</v>
          </cell>
          <cell r="J93">
            <v>344908.33</v>
          </cell>
          <cell r="K93">
            <v>358219.45</v>
          </cell>
          <cell r="L93">
            <v>376497.85</v>
          </cell>
          <cell r="M93">
            <v>456914.63</v>
          </cell>
          <cell r="N93">
            <v>484976</v>
          </cell>
          <cell r="O93">
            <v>512932.82</v>
          </cell>
          <cell r="P93">
            <v>622753.42000000004</v>
          </cell>
          <cell r="Q93">
            <v>709235.29063378833</v>
          </cell>
          <cell r="R93">
            <v>793078.09554048174</v>
          </cell>
          <cell r="S93">
            <v>900374.21922308579</v>
          </cell>
          <cell r="T93">
            <v>1042398.1285281479</v>
          </cell>
          <cell r="U93">
            <v>1189766.1182442976</v>
          </cell>
        </row>
        <row r="94">
          <cell r="D94">
            <v>18726.55</v>
          </cell>
          <cell r="E94">
            <v>19175.11</v>
          </cell>
          <cell r="F94">
            <v>18339.47</v>
          </cell>
          <cell r="G94">
            <v>20034.419999999998</v>
          </cell>
          <cell r="H94">
            <v>20606.629999999997</v>
          </cell>
          <cell r="I94">
            <v>20961.25</v>
          </cell>
          <cell r="J94">
            <v>24355.329999999998</v>
          </cell>
          <cell r="K94">
            <v>22791.95</v>
          </cell>
          <cell r="L94">
            <v>23399.649999999998</v>
          </cell>
          <cell r="M94">
            <v>28381.530000000002</v>
          </cell>
          <cell r="N94">
            <v>28256</v>
          </cell>
          <cell r="O94">
            <v>31287.17</v>
          </cell>
          <cell r="P94">
            <v>32349.919999999998</v>
          </cell>
          <cell r="Q94">
            <v>35078.802784544583</v>
          </cell>
          <cell r="R94">
            <v>37029.496546142589</v>
          </cell>
          <cell r="S94">
            <v>39625.995094788246</v>
          </cell>
          <cell r="T94">
            <v>42158.913426784318</v>
          </cell>
          <cell r="U94">
            <v>45077.230316865811</v>
          </cell>
        </row>
        <row r="95">
          <cell r="D95">
            <v>12704.699999999999</v>
          </cell>
          <cell r="E95">
            <v>12721.26</v>
          </cell>
          <cell r="F95">
            <v>12299.82</v>
          </cell>
          <cell r="G95">
            <v>12930.119999999999</v>
          </cell>
          <cell r="H95">
            <v>13786.38</v>
          </cell>
          <cell r="I95">
            <v>14502</v>
          </cell>
          <cell r="J95">
            <v>17776.829999999998</v>
          </cell>
          <cell r="K95">
            <v>15689.25</v>
          </cell>
          <cell r="L95">
            <v>16672.649999999998</v>
          </cell>
          <cell r="M95">
            <v>21031.38</v>
          </cell>
          <cell r="N95">
            <v>19866</v>
          </cell>
          <cell r="O95">
            <v>23489.219999999998</v>
          </cell>
          <cell r="P95">
            <v>22815.119999999999</v>
          </cell>
          <cell r="Q95">
            <v>24674.747950625799</v>
          </cell>
          <cell r="R95">
            <v>25680.001472886026</v>
          </cell>
          <cell r="S95">
            <v>27382.065034012907</v>
          </cell>
          <cell r="T95">
            <v>28452.183312419766</v>
          </cell>
          <cell r="U95">
            <v>30066.910740716405</v>
          </cell>
        </row>
        <row r="96">
          <cell r="D96">
            <v>6021.85</v>
          </cell>
          <cell r="E96">
            <v>6453.85</v>
          </cell>
          <cell r="F96">
            <v>6039.6500000000005</v>
          </cell>
          <cell r="G96">
            <v>7104.3</v>
          </cell>
          <cell r="H96">
            <v>6820.25</v>
          </cell>
          <cell r="I96">
            <v>6459.25</v>
          </cell>
          <cell r="J96">
            <v>6578.5</v>
          </cell>
          <cell r="K96">
            <v>7102.7000000000007</v>
          </cell>
          <cell r="L96">
            <v>6727</v>
          </cell>
          <cell r="M96">
            <v>7350.1500000000005</v>
          </cell>
          <cell r="N96">
            <v>8390</v>
          </cell>
          <cell r="O96">
            <v>7797.9500000000007</v>
          </cell>
          <cell r="P96">
            <v>9534.8000000000011</v>
          </cell>
          <cell r="Q96">
            <v>10404.054833918784</v>
          </cell>
          <cell r="R96">
            <v>11349.495073256563</v>
          </cell>
          <cell r="S96">
            <v>12243.930060775339</v>
          </cell>
          <cell r="T96">
            <v>13706.730114364549</v>
          </cell>
          <cell r="U96">
            <v>15010.319576149408</v>
          </cell>
        </row>
        <row r="97">
          <cell r="D97">
            <v>224162.75</v>
          </cell>
          <cell r="E97">
            <v>247511.5</v>
          </cell>
          <cell r="F97">
            <v>245208.44999999998</v>
          </cell>
          <cell r="G97">
            <v>274721.3</v>
          </cell>
          <cell r="H97">
            <v>268612.2</v>
          </cell>
          <cell r="I97">
            <v>290504</v>
          </cell>
          <cell r="J97">
            <v>320553</v>
          </cell>
          <cell r="K97">
            <v>335427.5</v>
          </cell>
          <cell r="L97">
            <v>353098.19999999995</v>
          </cell>
          <cell r="M97">
            <v>428533.1</v>
          </cell>
          <cell r="N97">
            <v>456720</v>
          </cell>
          <cell r="O97">
            <v>481645.65</v>
          </cell>
          <cell r="P97">
            <v>590403.5</v>
          </cell>
          <cell r="Q97">
            <v>674156.4878492438</v>
          </cell>
          <cell r="R97">
            <v>756048.59899433912</v>
          </cell>
          <cell r="S97">
            <v>860748.22412829753</v>
          </cell>
          <cell r="T97">
            <v>1000239.2151013636</v>
          </cell>
          <cell r="U97">
            <v>1144688.8879274318</v>
          </cell>
        </row>
        <row r="98">
          <cell r="D98">
            <v>92210.6</v>
          </cell>
          <cell r="E98">
            <v>100990.90000000001</v>
          </cell>
          <cell r="F98">
            <v>104611.5</v>
          </cell>
          <cell r="G98">
            <v>117754.1</v>
          </cell>
          <cell r="H98">
            <v>112485.90000000001</v>
          </cell>
          <cell r="I98">
            <v>118508.90000000001</v>
          </cell>
          <cell r="J98">
            <v>127176.90000000001</v>
          </cell>
          <cell r="K98">
            <v>127202.90000000001</v>
          </cell>
          <cell r="L98">
            <v>134607</v>
          </cell>
          <cell r="M98">
            <v>140767.70000000001</v>
          </cell>
          <cell r="N98">
            <v>158370</v>
          </cell>
          <cell r="O98">
            <v>164700.90000000002</v>
          </cell>
          <cell r="P98">
            <v>178898</v>
          </cell>
          <cell r="Q98">
            <v>192082.15711995523</v>
          </cell>
          <cell r="R98">
            <v>207601.69842873455</v>
          </cell>
          <cell r="S98">
            <v>222136.74234698113</v>
          </cell>
          <cell r="T98">
            <v>239387.51978621824</v>
          </cell>
          <cell r="U98">
            <v>257469.33430315094</v>
          </cell>
        </row>
        <row r="99">
          <cell r="D99">
            <v>131952.15</v>
          </cell>
          <cell r="E99">
            <v>146520.6</v>
          </cell>
          <cell r="F99">
            <v>140596.94999999998</v>
          </cell>
          <cell r="G99">
            <v>156967.19999999998</v>
          </cell>
          <cell r="H99">
            <v>156126.29999999999</v>
          </cell>
          <cell r="I99">
            <v>171995.1</v>
          </cell>
          <cell r="J99">
            <v>193376.1</v>
          </cell>
          <cell r="K99">
            <v>208224.6</v>
          </cell>
          <cell r="L99">
            <v>218491.19999999998</v>
          </cell>
          <cell r="M99">
            <v>287765.39999999997</v>
          </cell>
          <cell r="N99">
            <v>298350</v>
          </cell>
          <cell r="O99">
            <v>316944.75</v>
          </cell>
          <cell r="P99">
            <v>411505.5</v>
          </cell>
          <cell r="Q99">
            <v>482074.33072928857</v>
          </cell>
          <cell r="R99">
            <v>548446.90056560456</v>
          </cell>
          <cell r="S99">
            <v>638611.48178131634</v>
          </cell>
          <cell r="T99">
            <v>760851.69531514531</v>
          </cell>
          <cell r="U99">
            <v>887219.55362428084</v>
          </cell>
        </row>
        <row r="100">
          <cell r="D100">
            <v>113210.39</v>
          </cell>
          <cell r="E100">
            <v>121845.43</v>
          </cell>
          <cell r="F100">
            <v>124453.02</v>
          </cell>
          <cell r="G100">
            <v>138683.69</v>
          </cell>
          <cell r="H100">
            <v>134584.81</v>
          </cell>
          <cell r="I100">
            <v>141856.11000000002</v>
          </cell>
          <cell r="J100">
            <v>154760.21000000002</v>
          </cell>
          <cell r="K100">
            <v>153063.01999999999</v>
          </cell>
          <cell r="L100">
            <v>163069.58000000002</v>
          </cell>
          <cell r="M100">
            <v>173849.90000000002</v>
          </cell>
          <cell r="N100">
            <v>189380.04</v>
          </cell>
          <cell r="O100">
            <v>202069.21000000002</v>
          </cell>
          <cell r="P100">
            <v>218779.16</v>
          </cell>
          <cell r="Q100">
            <v>235431.7291665705</v>
          </cell>
          <cell r="R100">
            <v>254253.24600898687</v>
          </cell>
          <cell r="S100">
            <v>274383.02965148748</v>
          </cell>
          <cell r="T100">
            <v>296866.08826112642</v>
          </cell>
          <cell r="U100">
            <v>320962.83416043146</v>
          </cell>
        </row>
        <row r="101">
          <cell r="D101">
            <v>15598.839999999998</v>
          </cell>
          <cell r="E101">
            <v>15751.599999999999</v>
          </cell>
          <cell r="F101">
            <v>15262.68</v>
          </cell>
          <cell r="G101">
            <v>16294.89</v>
          </cell>
          <cell r="H101">
            <v>17087.68</v>
          </cell>
          <cell r="I101">
            <v>17676.25</v>
          </cell>
          <cell r="J101">
            <v>21105.38</v>
          </cell>
          <cell r="K101">
            <v>19357.580000000002</v>
          </cell>
          <cell r="L101">
            <v>20476.399999999998</v>
          </cell>
          <cell r="M101">
            <v>25315.989999999998</v>
          </cell>
          <cell r="N101">
            <v>25002</v>
          </cell>
          <cell r="O101">
            <v>28310.399999999998</v>
          </cell>
          <cell r="P101">
            <v>29251.489999999998</v>
          </cell>
          <cell r="Q101">
            <v>32085.410260504741</v>
          </cell>
          <cell r="R101">
            <v>34270.865165008916</v>
          </cell>
          <cell r="S101">
            <v>37255.364728789704</v>
          </cell>
          <cell r="T101">
            <v>40441.127119733792</v>
          </cell>
          <cell r="U101">
            <v>44236.613651636333</v>
          </cell>
        </row>
        <row r="102">
          <cell r="D102">
            <v>12704.699999999999</v>
          </cell>
          <cell r="E102">
            <v>12721.26</v>
          </cell>
          <cell r="F102">
            <v>12299.82</v>
          </cell>
          <cell r="G102">
            <v>12930.119999999999</v>
          </cell>
          <cell r="H102">
            <v>13786.38</v>
          </cell>
          <cell r="I102">
            <v>14502</v>
          </cell>
          <cell r="J102">
            <v>17776.829999999998</v>
          </cell>
          <cell r="K102">
            <v>15689.25</v>
          </cell>
          <cell r="L102">
            <v>16672.649999999998</v>
          </cell>
          <cell r="M102">
            <v>21031.38</v>
          </cell>
          <cell r="N102">
            <v>19866</v>
          </cell>
          <cell r="O102">
            <v>23489.219999999998</v>
          </cell>
          <cell r="P102">
            <v>22815.119999999999</v>
          </cell>
          <cell r="Q102">
            <v>24674.747950625799</v>
          </cell>
          <cell r="R102">
            <v>25680.001472886026</v>
          </cell>
          <cell r="S102">
            <v>27382.065034012907</v>
          </cell>
          <cell r="T102">
            <v>28452.183312419766</v>
          </cell>
          <cell r="U102">
            <v>30066.910740716405</v>
          </cell>
        </row>
        <row r="103">
          <cell r="D103">
            <v>1947.9</v>
          </cell>
          <cell r="E103">
            <v>2127.6999999999998</v>
          </cell>
          <cell r="F103">
            <v>1980.52</v>
          </cell>
          <cell r="G103">
            <v>2301.1</v>
          </cell>
          <cell r="H103">
            <v>2205.04</v>
          </cell>
          <cell r="I103">
            <v>2112.96</v>
          </cell>
          <cell r="J103">
            <v>2334.6799999999998</v>
          </cell>
          <cell r="K103">
            <v>2343.04</v>
          </cell>
          <cell r="L103">
            <v>2205.1799999999998</v>
          </cell>
          <cell r="M103">
            <v>2403.46</v>
          </cell>
          <cell r="N103">
            <v>2768</v>
          </cell>
          <cell r="O103">
            <v>2528.8000000000002</v>
          </cell>
          <cell r="P103">
            <v>3094.78</v>
          </cell>
          <cell r="Q103">
            <v>3368.4131420762624</v>
          </cell>
          <cell r="R103">
            <v>3665.0610764717817</v>
          </cell>
          <cell r="S103">
            <v>3931.5155613186898</v>
          </cell>
          <cell r="T103">
            <v>4390.0693213934146</v>
          </cell>
          <cell r="U103">
            <v>4791.0618471067792</v>
          </cell>
        </row>
        <row r="104">
          <cell r="D104">
            <v>460.84000000000003</v>
          </cell>
          <cell r="E104">
            <v>453.84000000000003</v>
          </cell>
          <cell r="F104">
            <v>435.34000000000003</v>
          </cell>
          <cell r="G104">
            <v>540.62</v>
          </cell>
          <cell r="H104">
            <v>523.06000000000006</v>
          </cell>
          <cell r="I104">
            <v>470.74</v>
          </cell>
          <cell r="J104">
            <v>296.72000000000003</v>
          </cell>
          <cell r="K104">
            <v>498.04</v>
          </cell>
          <cell r="L104">
            <v>485.62</v>
          </cell>
          <cell r="M104">
            <v>536.6</v>
          </cell>
          <cell r="N104">
            <v>588</v>
          </cell>
          <cell r="O104">
            <v>590.38</v>
          </cell>
          <cell r="P104">
            <v>719.14</v>
          </cell>
          <cell r="Q104">
            <v>793.2087914912513</v>
          </cell>
          <cell r="R104">
            <v>874.73695283084351</v>
          </cell>
          <cell r="S104">
            <v>966.0564629914453</v>
          </cell>
          <cell r="T104">
            <v>1092.6227243524042</v>
          </cell>
          <cell r="U104">
            <v>1213.0659833529833</v>
          </cell>
        </row>
        <row r="105">
          <cell r="D105">
            <v>485.40000000000003</v>
          </cell>
          <cell r="E105">
            <v>448.8</v>
          </cell>
          <cell r="F105">
            <v>547</v>
          </cell>
          <cell r="G105">
            <v>523.05000000000007</v>
          </cell>
          <cell r="H105">
            <v>573.20000000000005</v>
          </cell>
          <cell r="I105">
            <v>590.55000000000007</v>
          </cell>
          <cell r="J105">
            <v>697.15000000000009</v>
          </cell>
          <cell r="K105">
            <v>827.25</v>
          </cell>
          <cell r="L105">
            <v>1112.95</v>
          </cell>
          <cell r="M105">
            <v>1344.5500000000002</v>
          </cell>
          <cell r="N105">
            <v>1780</v>
          </cell>
          <cell r="O105">
            <v>1702</v>
          </cell>
          <cell r="P105">
            <v>2622.4500000000003</v>
          </cell>
          <cell r="Q105">
            <v>3249.0403763114305</v>
          </cell>
          <cell r="R105">
            <v>4051.0656628202614</v>
          </cell>
          <cell r="S105">
            <v>4975.727670466661</v>
          </cell>
          <cell r="T105">
            <v>6506.2517615682118</v>
          </cell>
          <cell r="U105">
            <v>8165.5750804601594</v>
          </cell>
        </row>
        <row r="106">
          <cell r="D106">
            <v>96729.510000000009</v>
          </cell>
          <cell r="E106">
            <v>105118.65000000001</v>
          </cell>
          <cell r="F106">
            <v>108231.82</v>
          </cell>
          <cell r="G106">
            <v>121285.54000000001</v>
          </cell>
          <cell r="H106">
            <v>116252.63</v>
          </cell>
          <cell r="I106">
            <v>123015.6</v>
          </cell>
          <cell r="J106">
            <v>132348.77000000002</v>
          </cell>
          <cell r="K106">
            <v>132447.04000000001</v>
          </cell>
          <cell r="L106">
            <v>141373.76000000001</v>
          </cell>
          <cell r="M106">
            <v>147058.93000000002</v>
          </cell>
          <cell r="N106">
            <v>162869</v>
          </cell>
          <cell r="O106">
            <v>172274.07000000004</v>
          </cell>
          <cell r="P106">
            <v>187816.91</v>
          </cell>
          <cell r="Q106">
            <v>201638.7442147051</v>
          </cell>
          <cell r="R106">
            <v>218211.13268805796</v>
          </cell>
          <cell r="S106">
            <v>235284.03360888147</v>
          </cell>
          <cell r="T106">
            <v>254478.79464106468</v>
          </cell>
          <cell r="U106">
            <v>274681.26012582047</v>
          </cell>
        </row>
        <row r="107">
          <cell r="D107">
            <v>92210.6</v>
          </cell>
          <cell r="E107">
            <v>100990.90000000001</v>
          </cell>
          <cell r="F107">
            <v>104611.5</v>
          </cell>
          <cell r="G107">
            <v>117754.1</v>
          </cell>
          <cell r="H107">
            <v>112485.90000000001</v>
          </cell>
          <cell r="I107">
            <v>118508.90000000001</v>
          </cell>
          <cell r="J107">
            <v>127176.90000000001</v>
          </cell>
          <cell r="K107">
            <v>127202.90000000001</v>
          </cell>
          <cell r="L107">
            <v>134607</v>
          </cell>
          <cell r="M107">
            <v>140767.70000000001</v>
          </cell>
          <cell r="N107">
            <v>158370</v>
          </cell>
          <cell r="O107">
            <v>164700.90000000002</v>
          </cell>
          <cell r="P107">
            <v>178898</v>
          </cell>
          <cell r="Q107">
            <v>192082.15711995523</v>
          </cell>
          <cell r="R107">
            <v>207601.69842873455</v>
          </cell>
          <cell r="S107">
            <v>222136.74234698113</v>
          </cell>
          <cell r="T107">
            <v>239387.51978621824</v>
          </cell>
          <cell r="U107">
            <v>257469.33430315094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D109">
            <v>4518.91</v>
          </cell>
          <cell r="E109">
            <v>4127.75</v>
          </cell>
          <cell r="F109">
            <v>3620.32</v>
          </cell>
          <cell r="G109">
            <v>3531.44</v>
          </cell>
          <cell r="H109">
            <v>3766.73</v>
          </cell>
          <cell r="I109">
            <v>4506.7</v>
          </cell>
          <cell r="J109">
            <v>5171.87</v>
          </cell>
          <cell r="K109">
            <v>5244.14</v>
          </cell>
          <cell r="L109">
            <v>6766.76</v>
          </cell>
          <cell r="M109">
            <v>6291.2300000000005</v>
          </cell>
          <cell r="N109">
            <v>4499</v>
          </cell>
          <cell r="O109">
            <v>7573.17</v>
          </cell>
          <cell r="P109">
            <v>8918.91</v>
          </cell>
          <cell r="Q109">
            <v>9556.5870947498679</v>
          </cell>
          <cell r="R109">
            <v>10609.434259323418</v>
          </cell>
          <cell r="S109">
            <v>13147.291261900329</v>
          </cell>
          <cell r="T109">
            <v>15091.274854846431</v>
          </cell>
          <cell r="U109">
            <v>17211.925822669535</v>
          </cell>
        </row>
        <row r="110">
          <cell r="D110">
            <v>882.04</v>
          </cell>
          <cell r="E110">
            <v>975.18000000000006</v>
          </cell>
          <cell r="F110">
            <v>958.52</v>
          </cell>
          <cell r="G110">
            <v>1103.26</v>
          </cell>
          <cell r="H110">
            <v>1244.5</v>
          </cell>
          <cell r="I110">
            <v>1164.26</v>
          </cell>
          <cell r="J110">
            <v>1306.06</v>
          </cell>
          <cell r="K110">
            <v>1258.4000000000001</v>
          </cell>
          <cell r="L110">
            <v>1219.42</v>
          </cell>
          <cell r="M110">
            <v>1474.98</v>
          </cell>
          <cell r="N110">
            <v>1509.04</v>
          </cell>
          <cell r="O110">
            <v>1484.74</v>
          </cell>
          <cell r="P110">
            <v>1710.76</v>
          </cell>
          <cell r="Q110">
            <v>1707.5746913606388</v>
          </cell>
          <cell r="R110">
            <v>1771.2481559199675</v>
          </cell>
          <cell r="S110">
            <v>1843.6313138163075</v>
          </cell>
          <cell r="T110">
            <v>1946.1665003279554</v>
          </cell>
          <cell r="U110">
            <v>2044.9603829746461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132.221</v>
          </cell>
          <cell r="I111">
            <v>83.61</v>
          </cell>
          <cell r="J111">
            <v>135.625</v>
          </cell>
          <cell r="K111">
            <v>792.19</v>
          </cell>
          <cell r="L111">
            <v>24028.938031999998</v>
          </cell>
          <cell r="M111">
            <v>19950.79016</v>
          </cell>
          <cell r="N111">
            <v>35531.814160000002</v>
          </cell>
          <cell r="O111">
            <v>24700.87658</v>
          </cell>
          <cell r="P111">
            <v>29363.674328491008</v>
          </cell>
          <cell r="Q111">
            <v>27332.614190893848</v>
          </cell>
          <cell r="R111">
            <v>25700.75941055964</v>
          </cell>
          <cell r="S111">
            <v>25158.069273808396</v>
          </cell>
          <cell r="T111">
            <v>24914.81924476174</v>
          </cell>
          <cell r="U111">
            <v>25712.863426686883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132.12100000000001</v>
          </cell>
          <cell r="I112">
            <v>81.650000000000006</v>
          </cell>
          <cell r="J112">
            <v>0</v>
          </cell>
          <cell r="K112">
            <v>0</v>
          </cell>
          <cell r="L112">
            <v>23023.838032</v>
          </cell>
          <cell r="M112">
            <v>18920.594160000001</v>
          </cell>
          <cell r="N112">
            <v>34042.618159999998</v>
          </cell>
          <cell r="O112">
            <v>18815.67858</v>
          </cell>
          <cell r="P112">
            <v>21671.7</v>
          </cell>
          <cell r="Q112">
            <v>18336.577142775393</v>
          </cell>
          <cell r="R112">
            <v>15412.307449634969</v>
          </cell>
          <cell r="S112">
            <v>13153.90650920766</v>
          </cell>
          <cell r="T112">
            <v>10546.557635615409</v>
          </cell>
          <cell r="U112">
            <v>8881.1731257881474</v>
          </cell>
        </row>
        <row r="113">
          <cell r="H113">
            <v>132.12100000000001</v>
          </cell>
          <cell r="I113">
            <v>81.650000000000006</v>
          </cell>
          <cell r="J113">
            <v>0</v>
          </cell>
          <cell r="K113">
            <v>0</v>
          </cell>
          <cell r="L113">
            <v>0.7</v>
          </cell>
          <cell r="M113">
            <v>0</v>
          </cell>
          <cell r="N113">
            <v>0</v>
          </cell>
          <cell r="O113">
            <v>10</v>
          </cell>
          <cell r="P113">
            <v>15</v>
          </cell>
          <cell r="Q113">
            <v>15</v>
          </cell>
          <cell r="R113">
            <v>25</v>
          </cell>
          <cell r="S113">
            <v>30</v>
          </cell>
          <cell r="T113">
            <v>30</v>
          </cell>
          <cell r="U113">
            <v>100</v>
          </cell>
        </row>
        <row r="115">
          <cell r="L115">
            <v>23023.138031999999</v>
          </cell>
          <cell r="M115">
            <v>18920.594160000001</v>
          </cell>
          <cell r="N115">
            <v>34042.618159999998</v>
          </cell>
          <cell r="O115">
            <v>18805.67858</v>
          </cell>
          <cell r="P115">
            <v>21656.7</v>
          </cell>
          <cell r="Q115">
            <v>18321.577142775393</v>
          </cell>
          <cell r="R115">
            <v>15387.307449634969</v>
          </cell>
          <cell r="S115">
            <v>13123.90650920766</v>
          </cell>
          <cell r="T115">
            <v>10516.557635615409</v>
          </cell>
          <cell r="U115">
            <v>8781.1731257881474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1000</v>
          </cell>
          <cell r="M116">
            <v>1000</v>
          </cell>
          <cell r="N116">
            <v>1400</v>
          </cell>
          <cell r="O116">
            <v>5855.1</v>
          </cell>
          <cell r="P116">
            <v>7601.9743284910073</v>
          </cell>
          <cell r="Q116">
            <v>8905.632334509588</v>
          </cell>
          <cell r="R116">
            <v>10131.770434757704</v>
          </cell>
          <cell r="S116">
            <v>11797.43184570114</v>
          </cell>
          <cell r="T116">
            <v>14055.64459180885</v>
          </cell>
          <cell r="U116">
            <v>16390.109659256155</v>
          </cell>
        </row>
        <row r="118">
          <cell r="L118">
            <v>1000</v>
          </cell>
          <cell r="M118">
            <v>1000</v>
          </cell>
          <cell r="N118">
            <v>1400</v>
          </cell>
          <cell r="O118">
            <v>5855.1</v>
          </cell>
          <cell r="P118">
            <v>7601.9743284910073</v>
          </cell>
          <cell r="Q118">
            <v>8905.632334509588</v>
          </cell>
          <cell r="R118">
            <v>10131.770434757704</v>
          </cell>
          <cell r="S118">
            <v>11797.43184570114</v>
          </cell>
          <cell r="T118">
            <v>14055.64459180885</v>
          </cell>
          <cell r="U118">
            <v>16390.109659256155</v>
          </cell>
        </row>
        <row r="121">
          <cell r="H121">
            <v>0.1</v>
          </cell>
          <cell r="I121">
            <v>1.96</v>
          </cell>
          <cell r="J121">
            <v>135.625</v>
          </cell>
          <cell r="K121">
            <v>792.19</v>
          </cell>
          <cell r="L121">
            <v>5.0999999999999996</v>
          </cell>
          <cell r="M121">
            <v>30.196000000000002</v>
          </cell>
          <cell r="N121">
            <v>89.195999999999998</v>
          </cell>
          <cell r="O121">
            <v>30.097999999999999</v>
          </cell>
          <cell r="P121">
            <v>90</v>
          </cell>
          <cell r="Q121">
            <v>90.404713608868121</v>
          </cell>
          <cell r="R121">
            <v>156.6815261669652</v>
          </cell>
          <cell r="S121">
            <v>206.73091889959704</v>
          </cell>
          <cell r="T121">
            <v>312.61701733748095</v>
          </cell>
          <cell r="U121">
            <v>441.58064164258127</v>
          </cell>
        </row>
        <row r="123">
          <cell r="D123">
            <v>1988</v>
          </cell>
          <cell r="E123">
            <v>1989</v>
          </cell>
          <cell r="F123">
            <v>1990</v>
          </cell>
          <cell r="G123">
            <v>1991</v>
          </cell>
          <cell r="H123">
            <v>1992</v>
          </cell>
          <cell r="I123">
            <v>1993</v>
          </cell>
          <cell r="J123">
            <v>1994</v>
          </cell>
          <cell r="K123">
            <v>1995</v>
          </cell>
          <cell r="L123">
            <v>1996</v>
          </cell>
          <cell r="M123">
            <v>1997</v>
          </cell>
          <cell r="N123">
            <v>1998</v>
          </cell>
          <cell r="O123">
            <v>1999</v>
          </cell>
          <cell r="P123">
            <v>2000</v>
          </cell>
          <cell r="Q123">
            <v>2001</v>
          </cell>
          <cell r="R123">
            <v>2002</v>
          </cell>
          <cell r="S123">
            <v>2003</v>
          </cell>
          <cell r="T123">
            <v>2004</v>
          </cell>
          <cell r="U123">
            <v>2005</v>
          </cell>
        </row>
        <row r="124">
          <cell r="D124">
            <v>2440605</v>
          </cell>
          <cell r="E124">
            <v>2635092</v>
          </cell>
          <cell r="F124">
            <v>2605993</v>
          </cell>
          <cell r="G124">
            <v>2894807</v>
          </cell>
          <cell r="H124">
            <v>2869584</v>
          </cell>
          <cell r="I124">
            <v>3055302</v>
          </cell>
          <cell r="J124">
            <v>3411337</v>
          </cell>
          <cell r="K124">
            <v>3452361</v>
          </cell>
          <cell r="L124">
            <v>3637719</v>
          </cell>
          <cell r="M124">
            <v>4331995</v>
          </cell>
          <cell r="N124">
            <v>4554652</v>
          </cell>
          <cell r="O124">
            <v>4876031</v>
          </cell>
          <cell r="P124">
            <v>5702618</v>
          </cell>
          <cell r="Q124">
            <v>6402460.7443526983</v>
          </cell>
          <cell r="R124">
            <v>7081352.72869593</v>
          </cell>
          <cell r="S124">
            <v>7947608.3531149784</v>
          </cell>
          <cell r="T124">
            <v>9053387.3140168618</v>
          </cell>
          <cell r="U124">
            <v>10213958.690431545</v>
          </cell>
        </row>
        <row r="125">
          <cell r="D125">
            <v>553635</v>
          </cell>
          <cell r="E125">
            <v>562095</v>
          </cell>
          <cell r="F125">
            <v>541727</v>
          </cell>
          <cell r="G125">
            <v>583551</v>
          </cell>
          <cell r="H125">
            <v>607415</v>
          </cell>
          <cell r="I125">
            <v>624396</v>
          </cell>
          <cell r="J125">
            <v>738074</v>
          </cell>
          <cell r="K125">
            <v>681574</v>
          </cell>
          <cell r="L125">
            <v>712554</v>
          </cell>
          <cell r="M125">
            <v>874940</v>
          </cell>
          <cell r="N125">
            <v>865600</v>
          </cell>
          <cell r="O125">
            <v>972973</v>
          </cell>
          <cell r="P125">
            <v>1003649</v>
          </cell>
          <cell r="Q125">
            <v>1095553.5025587976</v>
          </cell>
          <cell r="R125">
            <v>1164011.2638177373</v>
          </cell>
          <cell r="S125">
            <v>1257128.6557586035</v>
          </cell>
          <cell r="T125">
            <v>1352665.7479326474</v>
          </cell>
          <cell r="U125">
            <v>1465748.2511560714</v>
          </cell>
        </row>
        <row r="126">
          <cell r="D126">
            <v>423490</v>
          </cell>
          <cell r="E126">
            <v>424042</v>
          </cell>
          <cell r="F126">
            <v>409994</v>
          </cell>
          <cell r="G126">
            <v>431004</v>
          </cell>
          <cell r="H126">
            <v>459546</v>
          </cell>
          <cell r="I126">
            <v>483400</v>
          </cell>
          <cell r="J126">
            <v>592561</v>
          </cell>
          <cell r="K126">
            <v>522975</v>
          </cell>
          <cell r="L126">
            <v>555755</v>
          </cell>
          <cell r="M126">
            <v>701046</v>
          </cell>
          <cell r="N126">
            <v>662200</v>
          </cell>
          <cell r="O126">
            <v>782974</v>
          </cell>
          <cell r="P126">
            <v>760504</v>
          </cell>
          <cell r="Q126">
            <v>822491.59835419327</v>
          </cell>
          <cell r="R126">
            <v>856000.04909620085</v>
          </cell>
          <cell r="S126">
            <v>912735.50113376358</v>
          </cell>
          <cell r="T126">
            <v>948406.1104139922</v>
          </cell>
          <cell r="U126">
            <v>1002230.3580238802</v>
          </cell>
        </row>
        <row r="127">
          <cell r="D127">
            <v>97395</v>
          </cell>
          <cell r="E127">
            <v>106385</v>
          </cell>
          <cell r="F127">
            <v>99026</v>
          </cell>
          <cell r="G127">
            <v>115055</v>
          </cell>
          <cell r="H127">
            <v>110252</v>
          </cell>
          <cell r="I127">
            <v>105648</v>
          </cell>
          <cell r="J127">
            <v>116734</v>
          </cell>
          <cell r="K127">
            <v>117152</v>
          </cell>
          <cell r="L127">
            <v>110259</v>
          </cell>
          <cell r="M127">
            <v>120173</v>
          </cell>
          <cell r="N127">
            <v>138400</v>
          </cell>
          <cell r="O127">
            <v>126440</v>
          </cell>
          <cell r="P127">
            <v>154739</v>
          </cell>
          <cell r="Q127">
            <v>168420.65710381311</v>
          </cell>
          <cell r="R127">
            <v>183253.05382358909</v>
          </cell>
          <cell r="S127">
            <v>196575.77806593449</v>
          </cell>
          <cell r="T127">
            <v>219503.46606967074</v>
          </cell>
          <cell r="U127">
            <v>239553.09235533897</v>
          </cell>
        </row>
        <row r="128">
          <cell r="D128">
            <v>23042</v>
          </cell>
          <cell r="E128">
            <v>22692</v>
          </cell>
          <cell r="F128">
            <v>21767</v>
          </cell>
          <cell r="G128">
            <v>27031</v>
          </cell>
          <cell r="H128">
            <v>26153</v>
          </cell>
          <cell r="I128">
            <v>23537</v>
          </cell>
          <cell r="J128">
            <v>14836</v>
          </cell>
          <cell r="K128">
            <v>24902</v>
          </cell>
          <cell r="L128">
            <v>24281</v>
          </cell>
          <cell r="M128">
            <v>26830</v>
          </cell>
          <cell r="N128">
            <v>29400</v>
          </cell>
          <cell r="O128">
            <v>29519</v>
          </cell>
          <cell r="P128">
            <v>35957</v>
          </cell>
          <cell r="Q128">
            <v>39660.439574562566</v>
          </cell>
          <cell r="R128">
            <v>43736.847641542176</v>
          </cell>
          <cell r="S128">
            <v>48302.823149572265</v>
          </cell>
          <cell r="T128">
            <v>54631.136217620209</v>
          </cell>
          <cell r="U128">
            <v>60653.299167649166</v>
          </cell>
        </row>
        <row r="129">
          <cell r="D129">
            <v>9708</v>
          </cell>
          <cell r="E129">
            <v>8976</v>
          </cell>
          <cell r="F129">
            <v>10940</v>
          </cell>
          <cell r="G129">
            <v>10461</v>
          </cell>
          <cell r="H129">
            <v>11464</v>
          </cell>
          <cell r="I129">
            <v>11811</v>
          </cell>
          <cell r="J129">
            <v>13943</v>
          </cell>
          <cell r="K129">
            <v>16545</v>
          </cell>
          <cell r="L129">
            <v>22259</v>
          </cell>
          <cell r="M129">
            <v>26891</v>
          </cell>
          <cell r="N129">
            <v>35600</v>
          </cell>
          <cell r="O129">
            <v>34040</v>
          </cell>
          <cell r="P129">
            <v>52449</v>
          </cell>
          <cell r="Q129">
            <v>64980.807526228607</v>
          </cell>
          <cell r="R129">
            <v>81021.313256405221</v>
          </cell>
          <cell r="S129">
            <v>99514.55340933321</v>
          </cell>
          <cell r="T129">
            <v>130125.03523136422</v>
          </cell>
          <cell r="U129">
            <v>163311.50160920317</v>
          </cell>
        </row>
        <row r="130">
          <cell r="D130">
            <v>1842868</v>
          </cell>
          <cell r="E130">
            <v>2024238</v>
          </cell>
          <cell r="F130">
            <v>2016340</v>
          </cell>
          <cell r="G130">
            <v>2256093</v>
          </cell>
          <cell r="H130">
            <v>2199944</v>
          </cell>
          <cell r="I130">
            <v>2372693</v>
          </cell>
          <cell r="J130">
            <v>2607960</v>
          </cell>
          <cell r="K130">
            <v>2707867</v>
          </cell>
          <cell r="L130">
            <v>2864194</v>
          </cell>
          <cell r="M130">
            <v>3383306</v>
          </cell>
          <cell r="N130">
            <v>3613600</v>
          </cell>
          <cell r="O130">
            <v>3828821</v>
          </cell>
          <cell r="P130">
            <v>4613431</v>
          </cell>
          <cell r="Q130">
            <v>5221528.5072258692</v>
          </cell>
          <cell r="R130">
            <v>5828779.0570821948</v>
          </cell>
          <cell r="S130">
            <v>6598298.1316655595</v>
          </cell>
          <cell r="T130">
            <v>7603413.2410678165</v>
          </cell>
          <cell r="U130">
            <v>8645962.4201267418</v>
          </cell>
        </row>
        <row r="131">
          <cell r="D131">
            <v>922106</v>
          </cell>
          <cell r="E131">
            <v>1009909</v>
          </cell>
          <cell r="F131">
            <v>1046115</v>
          </cell>
          <cell r="G131">
            <v>1177541</v>
          </cell>
          <cell r="H131">
            <v>1124859</v>
          </cell>
          <cell r="I131">
            <v>1185089</v>
          </cell>
          <cell r="J131">
            <v>1271769</v>
          </cell>
          <cell r="K131">
            <v>1272029</v>
          </cell>
          <cell r="L131">
            <v>1346070</v>
          </cell>
          <cell r="M131">
            <v>1407677</v>
          </cell>
          <cell r="N131">
            <v>1583700</v>
          </cell>
          <cell r="O131">
            <v>1647009</v>
          </cell>
          <cell r="P131">
            <v>1788980</v>
          </cell>
          <cell r="Q131">
            <v>1920821.5711995522</v>
          </cell>
          <cell r="R131">
            <v>2076016.9842873455</v>
          </cell>
          <cell r="S131">
            <v>2221367.4234698112</v>
          </cell>
          <cell r="T131">
            <v>2393875.1978621823</v>
          </cell>
          <cell r="U131">
            <v>2574693.3430315093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 alimentaire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</sheetNames>
    <sheetDataSet>
      <sheetData sheetId="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J"/>
      <sheetName val="Table K"/>
      <sheetName val="Courant"/>
      <sheetName val="Constant"/>
      <sheetName val="Table L"/>
      <sheetName val="Prix"/>
      <sheetName val="Prix2"/>
      <sheetName val="Ind"/>
      <sheetName val="Taux de croissance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èses"/>
      <sheetName val="TB UEMOA"/>
      <sheetName val="Indicateurs"/>
      <sheetName val="Sortie"/>
      <sheetName val="Finances Publiques"/>
      <sheetName val="Finances Publiques(financement)"/>
      <sheetName val="TOFE"/>
      <sheetName val="Budget"/>
      <sheetName val="balance des payements"/>
      <sheetName val="Recettes détaillées"/>
      <sheetName val="Dépenses Détaillées"/>
      <sheetName val="Dépenses sectorielles"/>
      <sheetName val="Structure sectorielles"/>
      <sheetName val="TOFE Recettes - dépenses"/>
      <sheetName val="TOFE Financement"/>
      <sheetName val="Balance des paiements"/>
      <sheetName val="BP détaillée"/>
      <sheetName val="BIPEN 2001"/>
      <sheetName val="BIPEN 2001 (2)"/>
      <sheetName val="Epargne - Investisement 1"/>
      <sheetName val="Epargne - Investisement"/>
      <sheetName val="Equilibre emplois - ressources"/>
      <sheetName val="monnaie"/>
      <sheetName val="Dette"/>
      <sheetName val="comerce intra communautaire"/>
      <sheetName val="Energie+Coton"/>
      <sheetName val="Feuil1"/>
      <sheetName val="Tableau des flux"/>
      <sheetName val="UEMOA"/>
      <sheetName val="Feuil3"/>
      <sheetName val="dett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9">
          <cell r="K49">
            <v>20.000000000000004</v>
          </cell>
          <cell r="L49">
            <v>28.629999999999995</v>
          </cell>
          <cell r="M49">
            <v>64.7</v>
          </cell>
          <cell r="N49">
            <v>52.4</v>
          </cell>
          <cell r="O49">
            <v>42.6</v>
          </cell>
          <cell r="P49">
            <v>51.800000000000004</v>
          </cell>
          <cell r="Q49">
            <v>37.700000000000003</v>
          </cell>
          <cell r="R49">
            <v>68.099999999999994</v>
          </cell>
          <cell r="S49">
            <v>89.8</v>
          </cell>
          <cell r="T49">
            <v>68</v>
          </cell>
          <cell r="U49">
            <v>68.600000000000009</v>
          </cell>
          <cell r="V49">
            <v>34.010000000000005</v>
          </cell>
          <cell r="W49">
            <v>46.059999999999988</v>
          </cell>
          <cell r="X49">
            <v>66.670000000000016</v>
          </cell>
          <cell r="Y49">
            <v>42.44</v>
          </cell>
          <cell r="Z49">
            <v>86.03</v>
          </cell>
          <cell r="AA49">
            <v>76.399999999999991</v>
          </cell>
          <cell r="AB49">
            <v>97.199999999999989</v>
          </cell>
          <cell r="AC49">
            <v>124.9</v>
          </cell>
          <cell r="AD49">
            <v>82.05</v>
          </cell>
          <cell r="AE49">
            <v>81.099999999999994</v>
          </cell>
          <cell r="AF49">
            <v>89.300000000000011</v>
          </cell>
        </row>
        <row r="51">
          <cell r="K51">
            <v>1.7999999999999998</v>
          </cell>
          <cell r="L51">
            <v>-4.5999999999999996</v>
          </cell>
          <cell r="M51">
            <v>-2.6999999999999997</v>
          </cell>
          <cell r="N51">
            <v>3.4</v>
          </cell>
          <cell r="O51">
            <v>-7.9</v>
          </cell>
          <cell r="P51">
            <v>6.7000000000000011</v>
          </cell>
          <cell r="Q51">
            <v>-4.8</v>
          </cell>
          <cell r="R51">
            <v>-13.899999999999999</v>
          </cell>
          <cell r="S51">
            <v>6.1000000000000005</v>
          </cell>
          <cell r="T51">
            <v>-18.2</v>
          </cell>
          <cell r="U51">
            <v>3.5</v>
          </cell>
          <cell r="V51">
            <v>-27.17</v>
          </cell>
          <cell r="W51">
            <v>-33.5</v>
          </cell>
          <cell r="X51">
            <v>8.64</v>
          </cell>
          <cell r="Y51">
            <v>-49.56</v>
          </cell>
          <cell r="Z51">
            <v>12.939999999999998</v>
          </cell>
          <cell r="AA51">
            <v>-3.2</v>
          </cell>
          <cell r="AB51">
            <v>2.3999999999999986</v>
          </cell>
          <cell r="AC51">
            <v>6.4</v>
          </cell>
          <cell r="AD51">
            <v>-7.6999999999999993</v>
          </cell>
          <cell r="AE51">
            <v>-14.2</v>
          </cell>
          <cell r="AF51">
            <v>-16.600000000000001</v>
          </cell>
        </row>
        <row r="52">
          <cell r="K52">
            <v>3.8</v>
          </cell>
          <cell r="L52">
            <v>-2.3000000000000003</v>
          </cell>
          <cell r="M52">
            <v>-4.5999999999999996</v>
          </cell>
          <cell r="N52">
            <v>4.3</v>
          </cell>
          <cell r="O52">
            <v>-7.3999999999999995</v>
          </cell>
          <cell r="P52">
            <v>-1.6</v>
          </cell>
          <cell r="Q52">
            <v>-2.3999999999999995</v>
          </cell>
          <cell r="R52">
            <v>-10.799999999999999</v>
          </cell>
          <cell r="S52">
            <v>6.1000000000000005</v>
          </cell>
          <cell r="T52">
            <v>-16.7</v>
          </cell>
          <cell r="U52">
            <v>-1.7</v>
          </cell>
          <cell r="V52">
            <v>-26.3</v>
          </cell>
          <cell r="W52">
            <v>-43.699999999999996</v>
          </cell>
          <cell r="X52">
            <v>1.3000000000000012</v>
          </cell>
          <cell r="Y52">
            <v>-48.300000000000004</v>
          </cell>
          <cell r="Z52">
            <v>15.239999999999998</v>
          </cell>
          <cell r="AA52">
            <v>-1.2000000000000002</v>
          </cell>
          <cell r="AB52">
            <v>8.8999999999999986</v>
          </cell>
          <cell r="AC52">
            <v>14.4</v>
          </cell>
          <cell r="AD52">
            <v>-16.7</v>
          </cell>
          <cell r="AE52">
            <v>-9.1999999999999993</v>
          </cell>
          <cell r="AF52">
            <v>-10.6</v>
          </cell>
        </row>
        <row r="53">
          <cell r="K53">
            <v>0</v>
          </cell>
          <cell r="L53">
            <v>2.6</v>
          </cell>
          <cell r="M53">
            <v>2.6</v>
          </cell>
          <cell r="N53">
            <v>0</v>
          </cell>
          <cell r="O53">
            <v>3.7</v>
          </cell>
          <cell r="P53">
            <v>0</v>
          </cell>
          <cell r="Q53">
            <v>6.2</v>
          </cell>
          <cell r="R53">
            <v>13.9</v>
          </cell>
          <cell r="S53">
            <v>5.9</v>
          </cell>
          <cell r="T53">
            <v>9.1999999999999993</v>
          </cell>
          <cell r="U53">
            <v>1.1000000000000001</v>
          </cell>
          <cell r="V53">
            <v>-3.1</v>
          </cell>
          <cell r="W53">
            <v>0.59999999999999964</v>
          </cell>
          <cell r="X53">
            <v>-2.629999999999999</v>
          </cell>
          <cell r="Y53">
            <v>-5.0999999999999996</v>
          </cell>
          <cell r="Z53">
            <v>-5.16</v>
          </cell>
          <cell r="AA53">
            <v>-3.5</v>
          </cell>
          <cell r="AB53">
            <v>-2.8</v>
          </cell>
          <cell r="AC53">
            <v>-2.1</v>
          </cell>
          <cell r="AD53">
            <v>-2.7</v>
          </cell>
          <cell r="AE53">
            <v>-2.2000000000000002</v>
          </cell>
          <cell r="AF53">
            <v>-3.6</v>
          </cell>
        </row>
        <row r="54">
          <cell r="K54">
            <v>0</v>
          </cell>
          <cell r="L54">
            <v>2.6</v>
          </cell>
          <cell r="M54">
            <v>2.6</v>
          </cell>
          <cell r="N54">
            <v>0</v>
          </cell>
          <cell r="O54">
            <v>3.7</v>
          </cell>
          <cell r="P54">
            <v>0</v>
          </cell>
          <cell r="Q54">
            <v>6.2</v>
          </cell>
          <cell r="R54">
            <v>14.4</v>
          </cell>
          <cell r="S54">
            <v>6.9</v>
          </cell>
          <cell r="T54">
            <v>10.1</v>
          </cell>
          <cell r="U54">
            <v>3.6</v>
          </cell>
          <cell r="V54">
            <v>0</v>
          </cell>
          <cell r="W54">
            <v>6.1</v>
          </cell>
          <cell r="X54">
            <v>6.32</v>
          </cell>
          <cell r="Y54">
            <v>7.5</v>
          </cell>
          <cell r="Z54">
            <v>3.6</v>
          </cell>
          <cell r="AA54">
            <v>5.4</v>
          </cell>
          <cell r="AB54">
            <v>1.1000000000000001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-0.5</v>
          </cell>
          <cell r="S55">
            <v>-1</v>
          </cell>
          <cell r="T55">
            <v>-0.9</v>
          </cell>
          <cell r="U55">
            <v>-2.5</v>
          </cell>
          <cell r="V55">
            <v>-3.1</v>
          </cell>
          <cell r="W55">
            <v>-5.5</v>
          </cell>
          <cell r="X55">
            <v>-8.9499999999999993</v>
          </cell>
          <cell r="Y55">
            <v>-12.6</v>
          </cell>
          <cell r="Z55">
            <v>-8.76</v>
          </cell>
          <cell r="AA55">
            <v>-8.9</v>
          </cell>
          <cell r="AB55">
            <v>-3.9</v>
          </cell>
          <cell r="AC55">
            <v>-3.4</v>
          </cell>
          <cell r="AD55">
            <v>-3.9</v>
          </cell>
          <cell r="AE55">
            <v>-4.3</v>
          </cell>
          <cell r="AF55">
            <v>-4.3</v>
          </cell>
        </row>
        <row r="56">
          <cell r="K56">
            <v>3.8</v>
          </cell>
          <cell r="L56">
            <v>-4.9000000000000004</v>
          </cell>
          <cell r="M56">
            <v>-7.2</v>
          </cell>
          <cell r="N56">
            <v>4.3</v>
          </cell>
          <cell r="O56">
            <v>-11.1</v>
          </cell>
          <cell r="P56">
            <v>-1.6</v>
          </cell>
          <cell r="Q56">
            <v>-8.6</v>
          </cell>
          <cell r="R56">
            <v>-24.7</v>
          </cell>
          <cell r="S56">
            <v>0.2</v>
          </cell>
          <cell r="T56">
            <v>-25.9</v>
          </cell>
          <cell r="U56">
            <v>-2.8</v>
          </cell>
          <cell r="V56">
            <v>-23.2</v>
          </cell>
          <cell r="W56">
            <v>-44.3</v>
          </cell>
          <cell r="X56">
            <v>3.93</v>
          </cell>
          <cell r="Y56">
            <v>-43.2</v>
          </cell>
          <cell r="Z56">
            <v>20.399999999999999</v>
          </cell>
          <cell r="AA56">
            <v>2.2999999999999998</v>
          </cell>
          <cell r="AB56">
            <v>11.7</v>
          </cell>
          <cell r="AC56">
            <v>16.5</v>
          </cell>
          <cell r="AD56">
            <v>-14</v>
          </cell>
          <cell r="AE56">
            <v>-7</v>
          </cell>
          <cell r="AF56">
            <v>-7</v>
          </cell>
        </row>
        <row r="57">
          <cell r="K57">
            <v>-2</v>
          </cell>
          <cell r="L57">
            <v>-2.2999999999999998</v>
          </cell>
          <cell r="M57">
            <v>1.9</v>
          </cell>
          <cell r="N57">
            <v>-0.89999999999999991</v>
          </cell>
          <cell r="O57">
            <v>-0.50000000000000044</v>
          </cell>
          <cell r="P57">
            <v>8.3000000000000007</v>
          </cell>
          <cell r="Q57">
            <v>-2.4000000000000004</v>
          </cell>
          <cell r="R57">
            <v>-3.1</v>
          </cell>
          <cell r="S57">
            <v>0</v>
          </cell>
          <cell r="T57">
            <v>-1.5000000000000002</v>
          </cell>
          <cell r="U57">
            <v>5.2</v>
          </cell>
          <cell r="V57">
            <v>-0.87000000000000011</v>
          </cell>
          <cell r="W57">
            <v>10.199999999999999</v>
          </cell>
          <cell r="X57">
            <v>7.34</v>
          </cell>
          <cell r="Y57">
            <v>-1.26</v>
          </cell>
          <cell r="Z57">
            <v>-2.2999999999999998</v>
          </cell>
          <cell r="AA57">
            <v>-2</v>
          </cell>
          <cell r="AB57">
            <v>-6.5</v>
          </cell>
          <cell r="AC57">
            <v>-8</v>
          </cell>
          <cell r="AD57">
            <v>9</v>
          </cell>
          <cell r="AE57">
            <v>-5</v>
          </cell>
          <cell r="AF57">
            <v>-6</v>
          </cell>
        </row>
        <row r="58">
          <cell r="K58">
            <v>-2</v>
          </cell>
          <cell r="L58">
            <v>-3</v>
          </cell>
          <cell r="M58">
            <v>2.2999999999999998</v>
          </cell>
          <cell r="N58">
            <v>0</v>
          </cell>
          <cell r="O58">
            <v>0</v>
          </cell>
          <cell r="P58">
            <v>1.4</v>
          </cell>
          <cell r="Q58">
            <v>-0.4</v>
          </cell>
          <cell r="R58">
            <v>0</v>
          </cell>
          <cell r="S58">
            <v>-0.2</v>
          </cell>
          <cell r="T58">
            <v>0.7</v>
          </cell>
          <cell r="U58">
            <v>0.3</v>
          </cell>
          <cell r="V58">
            <v>0</v>
          </cell>
          <cell r="W58">
            <v>0</v>
          </cell>
          <cell r="X58">
            <v>5</v>
          </cell>
          <cell r="Y58">
            <v>0</v>
          </cell>
          <cell r="Z58">
            <v>-0.6</v>
          </cell>
          <cell r="AA58">
            <v>-2.4</v>
          </cell>
          <cell r="AB58">
            <v>-2.8</v>
          </cell>
          <cell r="AC58">
            <v>-20</v>
          </cell>
          <cell r="AD58">
            <v>0</v>
          </cell>
          <cell r="AE58">
            <v>0</v>
          </cell>
          <cell r="AF58">
            <v>0</v>
          </cell>
        </row>
        <row r="59">
          <cell r="K59">
            <v>0</v>
          </cell>
          <cell r="L59">
            <v>0</v>
          </cell>
          <cell r="M59">
            <v>0</v>
          </cell>
          <cell r="N59">
            <v>3.4</v>
          </cell>
          <cell r="O59">
            <v>3.9</v>
          </cell>
          <cell r="P59">
            <v>8.3000000000000007</v>
          </cell>
          <cell r="Q59">
            <v>0.6</v>
          </cell>
          <cell r="R59">
            <v>0</v>
          </cell>
          <cell r="S59">
            <v>0.2</v>
          </cell>
          <cell r="T59">
            <v>0.5</v>
          </cell>
          <cell r="U59">
            <v>5.5</v>
          </cell>
          <cell r="V59">
            <v>1.4</v>
          </cell>
          <cell r="W59">
            <v>10.7</v>
          </cell>
          <cell r="X59">
            <v>0.94</v>
          </cell>
          <cell r="Y59">
            <v>0.04</v>
          </cell>
          <cell r="Z59">
            <v>0</v>
          </cell>
          <cell r="AA59">
            <v>3.8</v>
          </cell>
          <cell r="AB59">
            <v>1.6</v>
          </cell>
          <cell r="AC59">
            <v>25</v>
          </cell>
          <cell r="AD59">
            <v>15</v>
          </cell>
          <cell r="AE59">
            <v>0</v>
          </cell>
          <cell r="AF59">
            <v>0</v>
          </cell>
        </row>
        <row r="60">
          <cell r="K60">
            <v>0</v>
          </cell>
          <cell r="L60">
            <v>0.7</v>
          </cell>
          <cell r="M60">
            <v>-0.4</v>
          </cell>
          <cell r="N60">
            <v>-4.3</v>
          </cell>
          <cell r="O60">
            <v>-4.4000000000000004</v>
          </cell>
          <cell r="P60">
            <v>-1.4</v>
          </cell>
          <cell r="Q60">
            <v>-2.6</v>
          </cell>
          <cell r="R60">
            <v>-3.1</v>
          </cell>
          <cell r="S60">
            <v>0</v>
          </cell>
          <cell r="T60">
            <v>-2.7</v>
          </cell>
          <cell r="U60">
            <v>-0.5</v>
          </cell>
          <cell r="V60">
            <v>-2.27</v>
          </cell>
          <cell r="W60">
            <v>-0.5</v>
          </cell>
          <cell r="X60">
            <v>1.4</v>
          </cell>
          <cell r="Y60">
            <v>-1.3</v>
          </cell>
          <cell r="Z60">
            <v>-1.7</v>
          </cell>
          <cell r="AA60">
            <v>-3.4</v>
          </cell>
          <cell r="AB60">
            <v>-5.3</v>
          </cell>
          <cell r="AC60">
            <v>-13</v>
          </cell>
          <cell r="AD60">
            <v>-6</v>
          </cell>
          <cell r="AE60">
            <v>-5</v>
          </cell>
          <cell r="AF60">
            <v>-6</v>
          </cell>
        </row>
        <row r="62">
          <cell r="K62">
            <v>18.200000000000003</v>
          </cell>
          <cell r="L62">
            <v>33.229999999999997</v>
          </cell>
          <cell r="M62">
            <v>67.400000000000006</v>
          </cell>
          <cell r="N62">
            <v>49</v>
          </cell>
          <cell r="O62">
            <v>50.5</v>
          </cell>
          <cell r="P62">
            <v>45.1</v>
          </cell>
          <cell r="Q62">
            <v>42.5</v>
          </cell>
          <cell r="R62">
            <v>81.999999999999986</v>
          </cell>
          <cell r="S62">
            <v>83.7</v>
          </cell>
          <cell r="T62">
            <v>86.2</v>
          </cell>
          <cell r="U62">
            <v>65.100000000000009</v>
          </cell>
          <cell r="V62">
            <v>61.180000000000007</v>
          </cell>
          <cell r="W62">
            <v>79.559999999999988</v>
          </cell>
          <cell r="X62">
            <v>58.030000000000008</v>
          </cell>
          <cell r="Y62">
            <v>92</v>
          </cell>
          <cell r="Z62">
            <v>73.09</v>
          </cell>
          <cell r="AA62">
            <v>79.599999999999994</v>
          </cell>
          <cell r="AB62">
            <v>94.8</v>
          </cell>
          <cell r="AC62">
            <v>118.5</v>
          </cell>
          <cell r="AD62">
            <v>89.75</v>
          </cell>
          <cell r="AE62">
            <v>95.3</v>
          </cell>
          <cell r="AF62">
            <v>105.9</v>
          </cell>
        </row>
        <row r="63">
          <cell r="K63">
            <v>27.6</v>
          </cell>
          <cell r="L63">
            <v>34.479999999999997</v>
          </cell>
          <cell r="M63">
            <v>41.1</v>
          </cell>
          <cell r="N63">
            <v>26</v>
          </cell>
          <cell r="O63">
            <v>26.6</v>
          </cell>
          <cell r="P63">
            <v>21.4</v>
          </cell>
          <cell r="Q63">
            <v>23.700000000000003</v>
          </cell>
          <cell r="R63">
            <v>45.8</v>
          </cell>
          <cell r="S63">
            <v>62</v>
          </cell>
          <cell r="T63">
            <v>62</v>
          </cell>
          <cell r="U63">
            <v>69.7</v>
          </cell>
          <cell r="V63">
            <v>60.980000000000004</v>
          </cell>
          <cell r="W63">
            <v>63.4</v>
          </cell>
          <cell r="X63">
            <v>73.510000000000005</v>
          </cell>
          <cell r="Y63">
            <v>53.089999999999996</v>
          </cell>
          <cell r="Z63">
            <v>70.400000000000006</v>
          </cell>
          <cell r="AA63">
            <v>69.3</v>
          </cell>
          <cell r="AB63">
            <v>69.8</v>
          </cell>
          <cell r="AC63">
            <v>93.300000000000011</v>
          </cell>
          <cell r="AD63">
            <v>99.3</v>
          </cell>
          <cell r="AE63">
            <v>106.6</v>
          </cell>
          <cell r="AF63">
            <v>117</v>
          </cell>
        </row>
        <row r="64">
          <cell r="K64">
            <v>17.18</v>
          </cell>
          <cell r="L64">
            <v>21.58</v>
          </cell>
          <cell r="M64">
            <v>29.7</v>
          </cell>
          <cell r="N64">
            <v>12</v>
          </cell>
          <cell r="O64">
            <v>8.8000000000000007</v>
          </cell>
          <cell r="P64">
            <v>9.4</v>
          </cell>
          <cell r="Q64">
            <v>10.4</v>
          </cell>
          <cell r="R64">
            <v>21.5</v>
          </cell>
          <cell r="S64">
            <v>26.6</v>
          </cell>
          <cell r="T64">
            <v>23.8</v>
          </cell>
          <cell r="U64">
            <v>42.1</v>
          </cell>
          <cell r="V64">
            <v>36.43</v>
          </cell>
          <cell r="W64">
            <v>31.1</v>
          </cell>
          <cell r="X64">
            <v>24.23</v>
          </cell>
          <cell r="Y64">
            <v>18.86</v>
          </cell>
          <cell r="Z64">
            <v>15.3</v>
          </cell>
          <cell r="AA64">
            <v>31.9</v>
          </cell>
          <cell r="AB64">
            <v>40.9</v>
          </cell>
          <cell r="AC64">
            <v>53.2</v>
          </cell>
          <cell r="AD64">
            <v>56.65</v>
          </cell>
          <cell r="AE64">
            <v>60.8</v>
          </cell>
          <cell r="AF64">
            <v>66.7</v>
          </cell>
        </row>
        <row r="65">
          <cell r="K65">
            <v>10.42</v>
          </cell>
          <cell r="L65">
            <v>12.9</v>
          </cell>
          <cell r="M65">
            <v>11.4</v>
          </cell>
          <cell r="N65">
            <v>14</v>
          </cell>
          <cell r="O65">
            <v>17.8</v>
          </cell>
          <cell r="P65">
            <v>12</v>
          </cell>
          <cell r="Q65">
            <v>13.3</v>
          </cell>
          <cell r="R65">
            <v>24.3</v>
          </cell>
          <cell r="S65">
            <v>35.4</v>
          </cell>
          <cell r="T65">
            <v>38.200000000000003</v>
          </cell>
          <cell r="U65">
            <v>27.7</v>
          </cell>
          <cell r="V65">
            <v>24.55</v>
          </cell>
          <cell r="W65">
            <v>32.299999999999997</v>
          </cell>
          <cell r="X65">
            <v>49.28</v>
          </cell>
          <cell r="Y65">
            <v>34.229999999999997</v>
          </cell>
          <cell r="Z65">
            <v>55.1</v>
          </cell>
          <cell r="AA65">
            <v>37.4</v>
          </cell>
          <cell r="AB65">
            <v>28.9</v>
          </cell>
          <cell r="AC65">
            <v>40.1</v>
          </cell>
          <cell r="AD65">
            <v>42.65</v>
          </cell>
          <cell r="AE65">
            <v>45.8</v>
          </cell>
          <cell r="AF65">
            <v>50.3</v>
          </cell>
        </row>
        <row r="66">
          <cell r="K66">
            <v>-14.4</v>
          </cell>
          <cell r="L66">
            <v>-10.8</v>
          </cell>
          <cell r="M66">
            <v>-30.2</v>
          </cell>
          <cell r="N66">
            <v>-11.1</v>
          </cell>
          <cell r="O66">
            <v>-9.5</v>
          </cell>
          <cell r="P66">
            <v>-30.9</v>
          </cell>
          <cell r="Q66">
            <v>-11.1</v>
          </cell>
          <cell r="R66">
            <v>-22.1</v>
          </cell>
          <cell r="S66">
            <v>-19.399999999999999</v>
          </cell>
          <cell r="T66">
            <v>-18.8</v>
          </cell>
          <cell r="U66">
            <v>-20.5</v>
          </cell>
          <cell r="V66">
            <v>-17.5</v>
          </cell>
          <cell r="W66">
            <v>-23.1</v>
          </cell>
          <cell r="X66">
            <v>-20.38</v>
          </cell>
          <cell r="Y66">
            <v>-20.079999999999998</v>
          </cell>
          <cell r="Z66">
            <v>-18.8</v>
          </cell>
          <cell r="AA66">
            <v>-17.899999999999999</v>
          </cell>
          <cell r="AB66">
            <v>-9.3000000000000007</v>
          </cell>
          <cell r="AC66">
            <v>-9.9</v>
          </cell>
          <cell r="AD66">
            <v>-9.5500000000000007</v>
          </cell>
          <cell r="AE66">
            <v>-11.3</v>
          </cell>
          <cell r="AF66">
            <v>-11.1</v>
          </cell>
        </row>
        <row r="67"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6.9</v>
          </cell>
          <cell r="S67">
            <v>3.2</v>
          </cell>
          <cell r="T67">
            <v>1.5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K68">
            <v>0</v>
          </cell>
          <cell r="L68">
            <v>0</v>
          </cell>
          <cell r="M68">
            <v>23.5</v>
          </cell>
          <cell r="N68">
            <v>26.1</v>
          </cell>
          <cell r="O68">
            <v>16.600000000000001</v>
          </cell>
          <cell r="P68">
            <v>16.100000000000001</v>
          </cell>
          <cell r="Q68">
            <v>20.399999999999999</v>
          </cell>
          <cell r="R68">
            <v>30.9</v>
          </cell>
          <cell r="S68">
            <v>15.600000000000001</v>
          </cell>
          <cell r="T68">
            <v>33.5</v>
          </cell>
          <cell r="U68">
            <v>14.1</v>
          </cell>
          <cell r="V68">
            <v>17.7</v>
          </cell>
          <cell r="W68">
            <v>27.46</v>
          </cell>
          <cell r="X68">
            <v>0</v>
          </cell>
          <cell r="Y68">
            <v>42.4</v>
          </cell>
          <cell r="Z68">
            <v>3.7</v>
          </cell>
          <cell r="AA68">
            <v>11.2</v>
          </cell>
          <cell r="AB68">
            <v>34.299999999999997</v>
          </cell>
          <cell r="AC68">
            <v>35.1</v>
          </cell>
          <cell r="AD68">
            <v>0</v>
          </cell>
          <cell r="AE68">
            <v>0</v>
          </cell>
          <cell r="AF68">
            <v>0</v>
          </cell>
        </row>
        <row r="69">
          <cell r="S69">
            <v>13.8</v>
          </cell>
          <cell r="T69">
            <v>20.6</v>
          </cell>
          <cell r="U69">
            <v>14.1</v>
          </cell>
          <cell r="V69">
            <v>9</v>
          </cell>
          <cell r="W69">
            <v>17.059999999999999</v>
          </cell>
          <cell r="X69">
            <v>0</v>
          </cell>
          <cell r="Y69">
            <v>21.5</v>
          </cell>
          <cell r="Z69">
            <v>3.7</v>
          </cell>
          <cell r="AA69">
            <v>4.9000000000000004</v>
          </cell>
          <cell r="AB69">
            <v>14.8</v>
          </cell>
          <cell r="AC69">
            <v>12.4</v>
          </cell>
          <cell r="AD69">
            <v>0</v>
          </cell>
          <cell r="AE69">
            <v>0</v>
          </cell>
          <cell r="AF69">
            <v>0</v>
          </cell>
        </row>
        <row r="70">
          <cell r="S70">
            <v>1.8</v>
          </cell>
          <cell r="T70">
            <v>12.9</v>
          </cell>
          <cell r="V70">
            <v>8.6999999999999993</v>
          </cell>
          <cell r="W70">
            <v>10.4</v>
          </cell>
          <cell r="X70">
            <v>0</v>
          </cell>
          <cell r="Y70">
            <v>20.9</v>
          </cell>
          <cell r="Z70">
            <v>0</v>
          </cell>
          <cell r="AA70">
            <v>6.3</v>
          </cell>
          <cell r="AB70">
            <v>19.5</v>
          </cell>
          <cell r="AC70">
            <v>22.7</v>
          </cell>
          <cell r="AD70">
            <v>0</v>
          </cell>
          <cell r="AE70">
            <v>0</v>
          </cell>
          <cell r="AF70">
            <v>0</v>
          </cell>
        </row>
        <row r="71">
          <cell r="K71">
            <v>5</v>
          </cell>
          <cell r="L71">
            <v>9.5500000000000007</v>
          </cell>
          <cell r="M71">
            <v>-66.400000000000006</v>
          </cell>
          <cell r="N71">
            <v>2.1</v>
          </cell>
          <cell r="O71">
            <v>-9.4</v>
          </cell>
          <cell r="P71">
            <v>0</v>
          </cell>
          <cell r="Q71">
            <v>1.6</v>
          </cell>
          <cell r="R71">
            <v>-3.2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K72">
            <v>0</v>
          </cell>
          <cell r="L72">
            <v>0</v>
          </cell>
          <cell r="M72">
            <v>99.4</v>
          </cell>
          <cell r="N72">
            <v>5.9</v>
          </cell>
          <cell r="O72">
            <v>26.2</v>
          </cell>
          <cell r="P72">
            <v>38.5</v>
          </cell>
          <cell r="Q72">
            <v>7.9</v>
          </cell>
          <cell r="R72">
            <v>23.7</v>
          </cell>
          <cell r="S72">
            <v>22.3</v>
          </cell>
          <cell r="T72">
            <v>8</v>
          </cell>
          <cell r="U72">
            <v>1.8</v>
          </cell>
          <cell r="V72">
            <v>0</v>
          </cell>
          <cell r="W72">
            <v>11.8</v>
          </cell>
          <cell r="X72">
            <v>4.9000000000000004</v>
          </cell>
          <cell r="Y72">
            <v>16.59</v>
          </cell>
          <cell r="Z72">
            <v>17.79</v>
          </cell>
          <cell r="AA72">
            <v>17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5">
          <cell r="K75">
            <v>2.0300000000000011</v>
          </cell>
          <cell r="L75">
            <v>3.1500000000000021</v>
          </cell>
          <cell r="M75">
            <v>-0.10000000000000853</v>
          </cell>
          <cell r="N75">
            <v>-2.5800000000000054</v>
          </cell>
          <cell r="O75">
            <v>-1.0000000000000071</v>
          </cell>
          <cell r="P75">
            <v>-9.9999999999965894E-2</v>
          </cell>
          <cell r="Q75">
            <v>-0.89999999999999147</v>
          </cell>
          <cell r="R75">
            <v>-2.4000000000000199</v>
          </cell>
          <cell r="S75">
            <v>-9.9999999999980105E-2</v>
          </cell>
          <cell r="T75">
            <v>0</v>
          </cell>
          <cell r="U75">
            <v>-1.6000000000000085</v>
          </cell>
          <cell r="V75">
            <v>-0.78000000000000824</v>
          </cell>
          <cell r="W75">
            <v>-1.0399999999999636</v>
          </cell>
          <cell r="X75">
            <v>-1.0700000000000358</v>
          </cell>
          <cell r="Y75">
            <v>-0.4199999999999946</v>
          </cell>
          <cell r="Z75">
            <v>-1.6899999999999977</v>
          </cell>
          <cell r="AA75">
            <v>6.9999999999950546E-2</v>
          </cell>
          <cell r="AB75">
            <v>-9.9999999999624833E-3</v>
          </cell>
          <cell r="AC75">
            <v>13.900000000000034</v>
          </cell>
          <cell r="AD75">
            <v>50.050000000000082</v>
          </cell>
          <cell r="AE75">
            <v>50.599999999999994</v>
          </cell>
          <cell r="AF75">
            <v>47.399999999999977</v>
          </cell>
        </row>
        <row r="76"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-1.0399999999999636</v>
          </cell>
          <cell r="X76">
            <v>-1.0700000000000358</v>
          </cell>
          <cell r="Y76">
            <v>-0.4199999999999946</v>
          </cell>
          <cell r="Z76">
            <v>-4.9999999999997158E-2</v>
          </cell>
          <cell r="AA76">
            <v>0</v>
          </cell>
          <cell r="AB76">
            <v>21.2</v>
          </cell>
          <cell r="AC76">
            <v>19.100000000000001</v>
          </cell>
          <cell r="AD76">
            <v>19.100000000000001</v>
          </cell>
          <cell r="AE76">
            <v>19.100000000000001</v>
          </cell>
          <cell r="AF76">
            <v>19.100000000000001</v>
          </cell>
        </row>
        <row r="77"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K78">
            <v>2.0300000000000011</v>
          </cell>
          <cell r="L78">
            <v>3.1500000000000021</v>
          </cell>
          <cell r="M78">
            <v>-0.10000000000000853</v>
          </cell>
          <cell r="N78">
            <v>-2.5800000000000054</v>
          </cell>
          <cell r="O78">
            <v>-1.0000000000000071</v>
          </cell>
          <cell r="P78">
            <v>-9.9999999999965894E-2</v>
          </cell>
          <cell r="Q78">
            <v>-0.89999999999999147</v>
          </cell>
          <cell r="R78">
            <v>-2.4000000000000199</v>
          </cell>
          <cell r="S78">
            <v>-9.9999999999980105E-2</v>
          </cell>
          <cell r="T78">
            <v>0</v>
          </cell>
          <cell r="U78">
            <v>-1.6000000000000085</v>
          </cell>
          <cell r="V78">
            <v>-0.78000000000000824</v>
          </cell>
          <cell r="W78">
            <v>0</v>
          </cell>
          <cell r="X78">
            <v>0</v>
          </cell>
          <cell r="Y78">
            <v>0</v>
          </cell>
          <cell r="Z78">
            <v>-1.6400000000000006</v>
          </cell>
          <cell r="AA78">
            <v>6.9999999999950546E-2</v>
          </cell>
          <cell r="AB78">
            <v>-21.209999999999962</v>
          </cell>
          <cell r="AC78">
            <v>-5.1999999999999673</v>
          </cell>
          <cell r="AD78">
            <v>30.950000000000081</v>
          </cell>
          <cell r="AE78">
            <v>31.499999999999993</v>
          </cell>
          <cell r="AF78">
            <v>28.299999999999976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2">
          <cell r="C12">
            <v>16.75200000000001</v>
          </cell>
          <cell r="D12">
            <v>20.077999999999975</v>
          </cell>
          <cell r="E12">
            <v>26.824000000000012</v>
          </cell>
          <cell r="F12">
            <v>32.072400000000016</v>
          </cell>
          <cell r="G12">
            <v>19.078900000000033</v>
          </cell>
          <cell r="H12">
            <v>24.440500000000043</v>
          </cell>
          <cell r="I12">
            <v>17.714000000000055</v>
          </cell>
          <cell r="J12">
            <v>105.89999999999998</v>
          </cell>
          <cell r="K12">
            <v>133.85000000000002</v>
          </cell>
          <cell r="L12">
            <v>169.43000000000006</v>
          </cell>
          <cell r="M12">
            <v>187.80000000000018</v>
          </cell>
          <cell r="N12">
            <v>184.59999999999991</v>
          </cell>
          <cell r="O12">
            <v>188.09999999999991</v>
          </cell>
          <cell r="P12">
            <v>241.23910798186694</v>
          </cell>
          <cell r="Q12">
            <v>203.96070323025128</v>
          </cell>
          <cell r="R12">
            <v>190.1040781108718</v>
          </cell>
          <cell r="S12">
            <v>-1386.1528621146406</v>
          </cell>
          <cell r="T12">
            <v>-1411.6293718852401</v>
          </cell>
          <cell r="U12">
            <v>-1559.1504429447134</v>
          </cell>
          <cell r="V12">
            <v>-1727.2283017535699</v>
          </cell>
          <cell r="W12">
            <v>-1863.403340374098</v>
          </cell>
          <cell r="X12">
            <v>-2026.231052722555</v>
          </cell>
        </row>
        <row r="14">
          <cell r="C14">
            <v>-8.1289999999999978</v>
          </cell>
          <cell r="D14">
            <v>-2.2040000000000077</v>
          </cell>
          <cell r="E14">
            <v>-17.256999999999998</v>
          </cell>
          <cell r="F14">
            <v>-16.256</v>
          </cell>
          <cell r="G14">
            <v>-2.4799999999999969</v>
          </cell>
          <cell r="H14">
            <v>1.5300000000000011</v>
          </cell>
          <cell r="I14">
            <v>10.049999999999997</v>
          </cell>
          <cell r="J14">
            <v>28.172151898734185</v>
          </cell>
          <cell r="K14">
            <v>44.999999999999986</v>
          </cell>
          <cell r="L14">
            <v>60.100000000000009</v>
          </cell>
          <cell r="M14">
            <v>60.5</v>
          </cell>
          <cell r="N14">
            <v>88.707811900191942</v>
          </cell>
          <cell r="O14">
            <v>98.739999999999952</v>
          </cell>
          <cell r="P14">
            <v>95.700000000000045</v>
          </cell>
          <cell r="Q14">
            <v>101.59</v>
          </cell>
          <cell r="R14">
            <v>148.19000000000003</v>
          </cell>
          <cell r="S14">
            <v>137.50000000000006</v>
          </cell>
          <cell r="T14">
            <v>126.09999999999997</v>
          </cell>
          <cell r="U14">
            <v>139.79999999999995</v>
          </cell>
          <cell r="V14">
            <v>143.89999999999992</v>
          </cell>
          <cell r="W14">
            <v>164.79999999999995</v>
          </cell>
          <cell r="X14">
            <v>186</v>
          </cell>
        </row>
        <row r="15">
          <cell r="C15">
            <v>24.881000000000007</v>
          </cell>
          <cell r="D15">
            <v>22.281999999999982</v>
          </cell>
          <cell r="E15">
            <v>44.08100000000001</v>
          </cell>
          <cell r="F15">
            <v>48.328400000000016</v>
          </cell>
          <cell r="G15">
            <v>21.55890000000003</v>
          </cell>
          <cell r="H15">
            <v>22.910500000000042</v>
          </cell>
          <cell r="I15">
            <v>7.6640000000000583</v>
          </cell>
          <cell r="J15">
            <v>77.727848101265792</v>
          </cell>
          <cell r="K15">
            <v>88.850000000000037</v>
          </cell>
          <cell r="L15">
            <v>109.33000000000006</v>
          </cell>
          <cell r="M15">
            <v>127.30000000000018</v>
          </cell>
          <cell r="N15">
            <v>95.892188099807967</v>
          </cell>
          <cell r="O15">
            <v>89.359999999999957</v>
          </cell>
          <cell r="P15">
            <v>145.53910798186689</v>
          </cell>
          <cell r="Q15">
            <v>102.37070323025128</v>
          </cell>
          <cell r="R15">
            <v>41.91407811087177</v>
          </cell>
          <cell r="S15">
            <v>-1523.6528621146406</v>
          </cell>
          <cell r="T15">
            <v>-1537.72937188524</v>
          </cell>
          <cell r="U15">
            <v>-1698.9504429447134</v>
          </cell>
          <cell r="V15">
            <v>-1871.1283017535698</v>
          </cell>
          <cell r="W15">
            <v>-2028.2033403740979</v>
          </cell>
          <cell r="X15">
            <v>-2212.231052722555</v>
          </cell>
        </row>
        <row r="17">
          <cell r="C17">
            <v>40.397000000000006</v>
          </cell>
          <cell r="D17">
            <v>46.424199999999956</v>
          </cell>
          <cell r="E17">
            <v>-48.424699999999987</v>
          </cell>
          <cell r="F17">
            <v>82.434100000000015</v>
          </cell>
          <cell r="G17">
            <v>39.652300000000025</v>
          </cell>
          <cell r="H17">
            <v>33.999200000000044</v>
          </cell>
          <cell r="I17">
            <v>52.004500000000071</v>
          </cell>
          <cell r="J17">
            <v>135.89999999999998</v>
          </cell>
          <cell r="K17">
            <v>167.89999999999998</v>
          </cell>
          <cell r="L17">
            <v>153.30000000000018</v>
          </cell>
          <cell r="M17">
            <v>181.09999999999991</v>
          </cell>
          <cell r="N17">
            <v>146.94990100000018</v>
          </cell>
          <cell r="O17">
            <v>185.20372400000019</v>
          </cell>
          <cell r="P17">
            <v>256.20738363622831</v>
          </cell>
          <cell r="Q17">
            <v>305.62274351303085</v>
          </cell>
          <cell r="R17">
            <v>252.25917623525743</v>
          </cell>
          <cell r="S17">
            <v>222.0200942854633</v>
          </cell>
          <cell r="T17">
            <v>289.89827831260732</v>
          </cell>
          <cell r="U17">
            <v>315.00592678706698</v>
          </cell>
          <cell r="V17">
            <v>394.19650990379978</v>
          </cell>
          <cell r="W17">
            <v>441.57329792763358</v>
          </cell>
          <cell r="X17">
            <v>491.3739044381</v>
          </cell>
          <cell r="Y17">
            <v>0.30572991262614879</v>
          </cell>
          <cell r="Z17">
            <v>8.66084773617911E-2</v>
          </cell>
        </row>
        <row r="19">
          <cell r="C19">
            <v>66.50200000000001</v>
          </cell>
          <cell r="D19">
            <v>79.836999999999989</v>
          </cell>
          <cell r="E19">
            <v>63.388999999999996</v>
          </cell>
          <cell r="F19">
            <v>71.331999999999994</v>
          </cell>
          <cell r="G19">
            <v>77.417000000000002</v>
          </cell>
          <cell r="H19">
            <v>83.35</v>
          </cell>
          <cell r="I19">
            <v>85.5</v>
          </cell>
          <cell r="J19">
            <v>157.89999999999998</v>
          </cell>
          <cell r="K19">
            <v>231.89999999999998</v>
          </cell>
          <cell r="L19">
            <v>212</v>
          </cell>
          <cell r="M19">
            <v>245.6</v>
          </cell>
          <cell r="N19">
            <v>263</v>
          </cell>
          <cell r="O19">
            <v>281</v>
          </cell>
          <cell r="P19">
            <v>313.51410463622813</v>
          </cell>
          <cell r="Q19">
            <v>360.44829351303042</v>
          </cell>
          <cell r="R19">
            <v>361.05815938725732</v>
          </cell>
          <cell r="S19">
            <v>419.79259428546334</v>
          </cell>
          <cell r="T19">
            <v>442.40293269408761</v>
          </cell>
          <cell r="U19">
            <v>417.36782885182254</v>
          </cell>
          <cell r="V19">
            <v>543.10194736477649</v>
          </cell>
          <cell r="W19">
            <v>550.89987853575701</v>
          </cell>
          <cell r="X19">
            <v>603.93392867286047</v>
          </cell>
          <cell r="Y19">
            <v>-5.6588919268255225E-2</v>
          </cell>
        </row>
        <row r="20">
          <cell r="K20">
            <v>190.2</v>
          </cell>
          <cell r="L20">
            <v>197.4</v>
          </cell>
          <cell r="M20">
            <v>228.1</v>
          </cell>
          <cell r="N20">
            <v>250.3</v>
          </cell>
          <cell r="O20">
            <v>274.7</v>
          </cell>
          <cell r="P20">
            <v>302.79853610136684</v>
          </cell>
          <cell r="Q20">
            <v>333.71426663731643</v>
          </cell>
          <cell r="R20">
            <v>370.22260740743889</v>
          </cell>
          <cell r="S20">
            <v>404.06095372447885</v>
          </cell>
          <cell r="T20">
            <v>415.45224013187936</v>
          </cell>
          <cell r="U20">
            <v>444.94934918124295</v>
          </cell>
          <cell r="V20">
            <v>481.0792363347598</v>
          </cell>
          <cell r="W20">
            <v>525.04987853575699</v>
          </cell>
          <cell r="X20">
            <v>567.68392867286047</v>
          </cell>
        </row>
        <row r="21">
          <cell r="C21">
            <v>26.72</v>
          </cell>
          <cell r="D21">
            <v>33.479999999999997</v>
          </cell>
          <cell r="E21">
            <v>25.9</v>
          </cell>
          <cell r="F21">
            <v>26.9</v>
          </cell>
          <cell r="G21">
            <v>28.200000000000003</v>
          </cell>
          <cell r="H21">
            <v>24.1</v>
          </cell>
          <cell r="I21">
            <v>28.5</v>
          </cell>
          <cell r="J21">
            <v>53.4</v>
          </cell>
          <cell r="K21">
            <v>78.2</v>
          </cell>
          <cell r="L21">
            <v>71.8</v>
          </cell>
          <cell r="M21">
            <v>83.7</v>
          </cell>
          <cell r="N21">
            <v>77.44</v>
          </cell>
          <cell r="O21">
            <v>88.4</v>
          </cell>
          <cell r="P21">
            <v>116.43</v>
          </cell>
          <cell r="Q21">
            <v>99.800000000000011</v>
          </cell>
          <cell r="R21">
            <v>119.6</v>
          </cell>
          <cell r="S21">
            <v>141.1</v>
          </cell>
          <cell r="T21">
            <v>131</v>
          </cell>
          <cell r="U21">
            <v>166.4</v>
          </cell>
          <cell r="V21">
            <v>181.8</v>
          </cell>
          <cell r="W21">
            <v>198.5</v>
          </cell>
          <cell r="X21">
            <v>218.9</v>
          </cell>
        </row>
        <row r="22">
          <cell r="C22">
            <v>39.782000000000004</v>
          </cell>
          <cell r="D22">
            <v>46.356999999999999</v>
          </cell>
          <cell r="E22">
            <v>37.488999999999997</v>
          </cell>
          <cell r="F22">
            <v>44.431999999999995</v>
          </cell>
          <cell r="G22">
            <v>49.216999999999992</v>
          </cell>
          <cell r="H22">
            <v>59.25</v>
          </cell>
          <cell r="I22">
            <v>57.000000000000007</v>
          </cell>
          <cell r="J22">
            <v>104.49999999999999</v>
          </cell>
          <cell r="K22">
            <v>111.99999999999999</v>
          </cell>
          <cell r="L22">
            <v>125.60000000000001</v>
          </cell>
          <cell r="M22">
            <v>144.39999999999998</v>
          </cell>
          <cell r="N22">
            <v>172.86</v>
          </cell>
          <cell r="O22">
            <v>186.29999999999998</v>
          </cell>
          <cell r="P22">
            <v>186.36853610136683</v>
          </cell>
          <cell r="Q22">
            <v>233.91426663731642</v>
          </cell>
          <cell r="R22">
            <v>250.62260740743889</v>
          </cell>
          <cell r="S22">
            <v>262.96095372447883</v>
          </cell>
          <cell r="T22">
            <v>284.45224013187936</v>
          </cell>
          <cell r="U22">
            <v>278.54934918124297</v>
          </cell>
          <cell r="V22">
            <v>299.27923633475979</v>
          </cell>
          <cell r="W22">
            <v>326.54987853575699</v>
          </cell>
          <cell r="X22">
            <v>348.7839286728605</v>
          </cell>
          <cell r="Y22">
            <v>-2.0751782260177168E-2</v>
          </cell>
        </row>
      </sheetData>
      <sheetData sheetId="21" refreshError="1">
        <row r="16">
          <cell r="E16">
            <v>453.24799999999999</v>
          </cell>
          <cell r="F16">
            <v>462.35599999999999</v>
          </cell>
          <cell r="G16">
            <v>452.37600000000003</v>
          </cell>
          <cell r="H16">
            <v>470.262</v>
          </cell>
          <cell r="I16">
            <v>510.67</v>
          </cell>
          <cell r="J16">
            <v>545.07499999999993</v>
          </cell>
          <cell r="K16">
            <v>578.69799999999998</v>
          </cell>
          <cell r="L16">
            <v>781.5</v>
          </cell>
          <cell r="M16">
            <v>949.1</v>
          </cell>
          <cell r="N16">
            <v>1038.4000000000001</v>
          </cell>
          <cell r="O16">
            <v>1136.0999999999999</v>
          </cell>
          <cell r="P16">
            <v>1263.8</v>
          </cell>
          <cell r="Q16">
            <v>1344.3</v>
          </cell>
          <cell r="R16">
            <v>1438.4</v>
          </cell>
          <cell r="S16">
            <v>1628.1</v>
          </cell>
          <cell r="T16">
            <v>1766.8</v>
          </cell>
          <cell r="U16">
            <v>1856.1528621146406</v>
          </cell>
          <cell r="V16">
            <v>1881.6293718852401</v>
          </cell>
          <cell r="W16">
            <v>2041.5844429447134</v>
          </cell>
          <cell r="X16">
            <v>2206.4283017535699</v>
          </cell>
          <cell r="Y16">
            <v>2365.7377403740979</v>
          </cell>
          <cell r="Z16">
            <v>2555.979952722555</v>
          </cell>
        </row>
        <row r="17">
          <cell r="E17">
            <v>68.698999999999998</v>
          </cell>
          <cell r="F17">
            <v>63.654000000000003</v>
          </cell>
          <cell r="G17">
            <v>62.256999999999998</v>
          </cell>
          <cell r="H17">
            <v>66.156000000000006</v>
          </cell>
          <cell r="I17">
            <v>63.98</v>
          </cell>
          <cell r="J17">
            <v>68.17</v>
          </cell>
          <cell r="K17">
            <v>67.55</v>
          </cell>
          <cell r="L17">
            <v>77.327848101265829</v>
          </cell>
          <cell r="M17">
            <v>104.10000000000001</v>
          </cell>
          <cell r="N17">
            <v>111.8</v>
          </cell>
          <cell r="O17">
            <v>121.4</v>
          </cell>
          <cell r="P17">
            <v>122.54218809980806</v>
          </cell>
          <cell r="Q17">
            <v>134.36000000000001</v>
          </cell>
          <cell r="R17">
            <v>170.51999999999998</v>
          </cell>
          <cell r="S17">
            <v>179.53</v>
          </cell>
          <cell r="T17">
            <v>169.98</v>
          </cell>
          <cell r="U17">
            <v>213.2</v>
          </cell>
          <cell r="V17">
            <v>225.3</v>
          </cell>
          <cell r="W17">
            <v>253</v>
          </cell>
          <cell r="X17">
            <v>270.70000000000005</v>
          </cell>
          <cell r="Y17">
            <v>288.8</v>
          </cell>
          <cell r="Z17">
            <v>311</v>
          </cell>
        </row>
        <row r="18">
          <cell r="E18">
            <v>384.54899999999998</v>
          </cell>
          <cell r="F18">
            <v>398.702</v>
          </cell>
          <cell r="G18">
            <v>390.11900000000003</v>
          </cell>
          <cell r="H18">
            <v>404.10599999999999</v>
          </cell>
          <cell r="I18">
            <v>446.69</v>
          </cell>
          <cell r="J18">
            <v>476.90499999999997</v>
          </cell>
          <cell r="K18">
            <v>511.14800000000002</v>
          </cell>
          <cell r="L18">
            <v>704.17215189873423</v>
          </cell>
          <cell r="M18">
            <v>845</v>
          </cell>
          <cell r="N18">
            <v>926.60000000000014</v>
          </cell>
          <cell r="O18">
            <v>1014.6999999999999</v>
          </cell>
          <cell r="P18">
            <v>1141.2578119001919</v>
          </cell>
          <cell r="Q18">
            <v>1209.94</v>
          </cell>
          <cell r="R18">
            <v>1267.8800000000001</v>
          </cell>
          <cell r="S18">
            <v>1448.57</v>
          </cell>
          <cell r="T18">
            <v>1596.82</v>
          </cell>
          <cell r="U18">
            <v>1642.9528621146405</v>
          </cell>
          <cell r="V18">
            <v>1656.3293718852401</v>
          </cell>
          <cell r="W18">
            <v>1788.5844429447134</v>
          </cell>
          <cell r="X18">
            <v>1935.7283017535699</v>
          </cell>
          <cell r="Y18">
            <v>2076.9377403740978</v>
          </cell>
          <cell r="Z18">
            <v>2244.979952722555</v>
          </cell>
        </row>
        <row r="20">
          <cell r="E20">
            <v>66.617999999999995</v>
          </cell>
          <cell r="F20">
            <v>77.192999999999998</v>
          </cell>
          <cell r="G20">
            <v>66.455999999999989</v>
          </cell>
          <cell r="H20">
            <v>67.349999999999994</v>
          </cell>
          <cell r="I20">
            <v>72.599999999999994</v>
          </cell>
          <cell r="J20">
            <v>79.75</v>
          </cell>
          <cell r="K20">
            <v>89.4</v>
          </cell>
          <cell r="L20">
            <v>144.1</v>
          </cell>
          <cell r="M20">
            <v>190.2</v>
          </cell>
          <cell r="N20">
            <v>197.4</v>
          </cell>
          <cell r="O20">
            <v>228.1</v>
          </cell>
          <cell r="P20">
            <v>250.3</v>
          </cell>
          <cell r="Q20">
            <v>274.7</v>
          </cell>
          <cell r="R20">
            <v>302.79853610136684</v>
          </cell>
          <cell r="S20">
            <v>333.71426663731643</v>
          </cell>
          <cell r="T20">
            <v>370.22260740743889</v>
          </cell>
          <cell r="U20">
            <v>404.06095372447885</v>
          </cell>
          <cell r="V20">
            <v>415.45224013187936</v>
          </cell>
          <cell r="W20">
            <v>444.94934918124295</v>
          </cell>
          <cell r="X20">
            <v>481.0792363347598</v>
          </cell>
          <cell r="Y20">
            <v>525.04987853575699</v>
          </cell>
          <cell r="Z20">
            <v>567.68392867286047</v>
          </cell>
        </row>
        <row r="21">
          <cell r="E21">
            <v>26.72</v>
          </cell>
          <cell r="F21">
            <v>33.479999999999997</v>
          </cell>
          <cell r="G21">
            <v>25.9</v>
          </cell>
          <cell r="H21">
            <v>26.9</v>
          </cell>
          <cell r="I21">
            <v>28.200000000000003</v>
          </cell>
          <cell r="J21">
            <v>24.1</v>
          </cell>
          <cell r="K21">
            <v>28.5</v>
          </cell>
          <cell r="L21">
            <v>53.4</v>
          </cell>
          <cell r="M21">
            <v>78.2</v>
          </cell>
          <cell r="N21">
            <v>71.8</v>
          </cell>
          <cell r="O21">
            <v>83.7</v>
          </cell>
          <cell r="P21">
            <v>77.44</v>
          </cell>
          <cell r="Q21">
            <v>88.4</v>
          </cell>
          <cell r="R21">
            <v>116.43</v>
          </cell>
          <cell r="S21">
            <v>99.800000000000011</v>
          </cell>
          <cell r="T21">
            <v>119.6</v>
          </cell>
          <cell r="U21">
            <v>141.1</v>
          </cell>
          <cell r="V21">
            <v>131</v>
          </cell>
          <cell r="W21">
            <v>166.4</v>
          </cell>
          <cell r="X21">
            <v>181.8</v>
          </cell>
          <cell r="Y21">
            <v>198.5</v>
          </cell>
          <cell r="Z21">
            <v>218.9</v>
          </cell>
        </row>
        <row r="22">
          <cell r="E22">
            <v>39.898000000000003</v>
          </cell>
          <cell r="F22">
            <v>43.713000000000001</v>
          </cell>
          <cell r="G22">
            <v>40.555999999999997</v>
          </cell>
          <cell r="H22">
            <v>40.449999999999996</v>
          </cell>
          <cell r="I22">
            <v>44.399999999999991</v>
          </cell>
          <cell r="J22">
            <v>55.65</v>
          </cell>
          <cell r="K22">
            <v>60.900000000000006</v>
          </cell>
          <cell r="L22">
            <v>90.699999999999989</v>
          </cell>
          <cell r="M22">
            <v>111.99999999999999</v>
          </cell>
          <cell r="N22">
            <v>125.60000000000001</v>
          </cell>
          <cell r="O22">
            <v>144.39999999999998</v>
          </cell>
          <cell r="P22">
            <v>172.86</v>
          </cell>
          <cell r="Q22">
            <v>186.29999999999998</v>
          </cell>
          <cell r="R22">
            <v>186.36853610136683</v>
          </cell>
          <cell r="S22">
            <v>233.91426663731642</v>
          </cell>
          <cell r="T22">
            <v>250.62260740743889</v>
          </cell>
          <cell r="U22">
            <v>262.96095372447883</v>
          </cell>
          <cell r="V22">
            <v>284.45224013187936</v>
          </cell>
          <cell r="W22">
            <v>278.54934918124297</v>
          </cell>
          <cell r="X22">
            <v>299.27923633475979</v>
          </cell>
          <cell r="Y22">
            <v>326.54987853575699</v>
          </cell>
          <cell r="Z22">
            <v>348.7839286728605</v>
          </cell>
        </row>
        <row r="24">
          <cell r="E24">
            <v>-0.11600000000000001</v>
          </cell>
          <cell r="F24">
            <v>2.6440000000000001</v>
          </cell>
          <cell r="G24">
            <v>-3.0670000000000002</v>
          </cell>
          <cell r="H24">
            <v>3.9820000000000002</v>
          </cell>
          <cell r="I24">
            <v>4.8170000000000002</v>
          </cell>
          <cell r="J24">
            <v>3.6</v>
          </cell>
          <cell r="K24">
            <v>-3.9</v>
          </cell>
          <cell r="L24">
            <v>13.8</v>
          </cell>
          <cell r="M24">
            <v>41.7</v>
          </cell>
          <cell r="N24">
            <v>14.6</v>
          </cell>
          <cell r="O24">
            <v>17.5</v>
          </cell>
          <cell r="P24">
            <v>12.7</v>
          </cell>
          <cell r="Q24">
            <v>6.3</v>
          </cell>
          <cell r="R24">
            <v>10.715568534861273</v>
          </cell>
          <cell r="S24">
            <v>26.734026875714008</v>
          </cell>
          <cell r="T24">
            <v>-9.1644480201815472</v>
          </cell>
          <cell r="U24">
            <v>15.731640560984461</v>
          </cell>
          <cell r="V24">
            <v>26.950692562208246</v>
          </cell>
          <cell r="W24">
            <v>-27.581520329420396</v>
          </cell>
          <cell r="X24">
            <v>62.022711030016701</v>
          </cell>
          <cell r="Y24">
            <v>25.85</v>
          </cell>
          <cell r="Z24">
            <v>36.25</v>
          </cell>
        </row>
        <row r="26">
          <cell r="E26">
            <v>519.75</v>
          </cell>
          <cell r="F26">
            <v>542.19299999999998</v>
          </cell>
          <cell r="G26">
            <v>515.76499999999999</v>
          </cell>
          <cell r="H26">
            <v>541.59399999999994</v>
          </cell>
          <cell r="I26">
            <v>588.08699999999999</v>
          </cell>
          <cell r="J26">
            <v>628.42499999999995</v>
          </cell>
          <cell r="K26">
            <v>664.19799999999998</v>
          </cell>
          <cell r="L26">
            <v>939.4</v>
          </cell>
          <cell r="M26">
            <v>1181</v>
          </cell>
          <cell r="N26">
            <v>1250.4000000000001</v>
          </cell>
          <cell r="O26">
            <v>1381.6999999999998</v>
          </cell>
          <cell r="P26">
            <v>1526.8</v>
          </cell>
          <cell r="Q26">
            <v>1625.3</v>
          </cell>
          <cell r="R26">
            <v>1751.9141046362281</v>
          </cell>
          <cell r="S26">
            <v>1988.5482935130306</v>
          </cell>
          <cell r="T26">
            <v>2127.8581593872573</v>
          </cell>
          <cell r="U26">
            <v>2275.9454564001039</v>
          </cell>
          <cell r="V26">
            <v>2324.0323045793275</v>
          </cell>
          <cell r="W26">
            <v>2458.9522717965356</v>
          </cell>
          <cell r="X26">
            <v>2749.5302491183465</v>
          </cell>
          <cell r="Y26">
            <v>2916.6376189098551</v>
          </cell>
          <cell r="Z26">
            <v>3159.9138813954155</v>
          </cell>
        </row>
        <row r="29">
          <cell r="E29">
            <v>-50.256</v>
          </cell>
          <cell r="F29">
            <v>-53.335999999999984</v>
          </cell>
          <cell r="G29">
            <v>-29.738</v>
          </cell>
          <cell r="H29">
            <v>-39.262</v>
          </cell>
          <cell r="I29">
            <v>-52.338999999999999</v>
          </cell>
          <cell r="J29">
            <v>-55.718000000000004</v>
          </cell>
          <cell r="K29">
            <v>-47.172000000000011</v>
          </cell>
          <cell r="L29">
            <v>-52.000000000000028</v>
          </cell>
          <cell r="M29">
            <v>-94.100000000000023</v>
          </cell>
          <cell r="N29">
            <v>-94.099999999999966</v>
          </cell>
          <cell r="O29">
            <v>-105.30000000000001</v>
          </cell>
          <cell r="P29">
            <v>-160.25009899999998</v>
          </cell>
          <cell r="Q29">
            <v>-155.29627599999992</v>
          </cell>
          <cell r="R29">
            <v>-127.70672099999996</v>
          </cell>
          <cell r="S29">
            <v>-164.32555000000008</v>
          </cell>
          <cell r="T29">
            <v>-200.44898315199998</v>
          </cell>
          <cell r="U29">
            <v>-208.93049999999994</v>
          </cell>
          <cell r="V29">
            <v>-182.24265438148001</v>
          </cell>
          <cell r="W29">
            <v>-184.74173539808862</v>
          </cell>
          <cell r="X29">
            <v>-220.67829857208784</v>
          </cell>
          <cell r="Y29">
            <v>-204.64486034145693</v>
          </cell>
          <cell r="Z29">
            <v>-221.92372956276051</v>
          </cell>
        </row>
        <row r="33">
          <cell r="E33">
            <v>128.72999999999999</v>
          </cell>
          <cell r="F33">
            <v>93.429000000000002</v>
          </cell>
          <cell r="G33">
            <v>87.628</v>
          </cell>
          <cell r="H33">
            <v>102.357</v>
          </cell>
          <cell r="I33">
            <v>117.69499999999999</v>
          </cell>
          <cell r="J33">
            <v>120.866</v>
          </cell>
          <cell r="K33">
            <v>118.002</v>
          </cell>
          <cell r="L33">
            <v>228.29999999999998</v>
          </cell>
          <cell r="M33">
            <v>271.39999999999998</v>
          </cell>
          <cell r="N33">
            <v>286.2</v>
          </cell>
          <cell r="O33">
            <v>310.7</v>
          </cell>
          <cell r="P33">
            <v>290.42600000000004</v>
          </cell>
          <cell r="Q33">
            <v>368.2731</v>
          </cell>
          <cell r="R33">
            <v>376.09479600000003</v>
          </cell>
          <cell r="S33">
            <v>384.17437999999999</v>
          </cell>
          <cell r="T33">
            <v>418.21702160000007</v>
          </cell>
          <cell r="U33">
            <v>414.42380000000003</v>
          </cell>
          <cell r="V33">
            <v>414.20400000000001</v>
          </cell>
          <cell r="W33">
            <v>413.51572788161968</v>
          </cell>
          <cell r="X33">
            <v>396.70510206801151</v>
          </cell>
          <cell r="Y33">
            <v>429.28246363150868</v>
          </cell>
          <cell r="Z33">
            <v>450.06027023140825</v>
          </cell>
        </row>
        <row r="37">
          <cell r="E37">
            <v>178.98599999999999</v>
          </cell>
          <cell r="F37">
            <v>146.76499999999999</v>
          </cell>
          <cell r="G37">
            <v>117.366</v>
          </cell>
          <cell r="H37">
            <v>141.619</v>
          </cell>
          <cell r="I37">
            <v>170.03399999999999</v>
          </cell>
          <cell r="J37">
            <v>176.584</v>
          </cell>
          <cell r="K37">
            <v>165.17400000000001</v>
          </cell>
          <cell r="L37">
            <v>280.3</v>
          </cell>
          <cell r="M37">
            <v>365.5</v>
          </cell>
          <cell r="N37">
            <v>380.29999999999995</v>
          </cell>
          <cell r="O37">
            <v>416</v>
          </cell>
          <cell r="P37">
            <v>450.67609900000002</v>
          </cell>
          <cell r="Q37">
            <v>523.56937599999992</v>
          </cell>
          <cell r="R37">
            <v>503.80151699999999</v>
          </cell>
          <cell r="S37">
            <v>548.49993000000006</v>
          </cell>
          <cell r="T37">
            <v>618.66600475200005</v>
          </cell>
          <cell r="U37">
            <v>623.35429999999997</v>
          </cell>
          <cell r="V37">
            <v>596.44665438148002</v>
          </cell>
          <cell r="W37">
            <v>598.2574632797083</v>
          </cell>
          <cell r="X37">
            <v>617.38340064009935</v>
          </cell>
          <cell r="Y37">
            <v>633.92732397296561</v>
          </cell>
          <cell r="Z37">
            <v>671.98399979416877</v>
          </cell>
        </row>
        <row r="39">
          <cell r="E39">
            <v>470</v>
          </cell>
          <cell r="F39">
            <v>482.43399999999997</v>
          </cell>
          <cell r="G39">
            <v>479.20000000000005</v>
          </cell>
          <cell r="H39">
            <v>502.33440000000002</v>
          </cell>
          <cell r="I39">
            <v>529.74890000000005</v>
          </cell>
          <cell r="J39">
            <v>569.51549999999997</v>
          </cell>
          <cell r="K39">
            <v>596.41200000000003</v>
          </cell>
          <cell r="L39">
            <v>887.4</v>
          </cell>
          <cell r="M39">
            <v>1082.95</v>
          </cell>
          <cell r="N39">
            <v>1207.8300000000002</v>
          </cell>
          <cell r="O39">
            <v>1323.9</v>
          </cell>
          <cell r="P39">
            <v>1448.3999999999999</v>
          </cell>
          <cell r="Q39">
            <v>1532.3999999999999</v>
          </cell>
          <cell r="R39">
            <v>1679.639107981867</v>
          </cell>
          <cell r="S39">
            <v>1832.0607032302512</v>
          </cell>
          <cell r="T39">
            <v>1956.9040781108718</v>
          </cell>
          <cell r="U39">
            <v>470</v>
          </cell>
          <cell r="V39">
            <v>470</v>
          </cell>
          <cell r="W39">
            <v>482.43399999999997</v>
          </cell>
          <cell r="X39">
            <v>479.20000000000005</v>
          </cell>
          <cell r="Y39">
            <v>502.33440000000002</v>
          </cell>
          <cell r="Z39">
            <v>529.74890000000005</v>
          </cell>
        </row>
        <row r="42">
          <cell r="E42">
            <v>23.644999999999996</v>
          </cell>
          <cell r="F42">
            <v>26.346199999999982</v>
          </cell>
          <cell r="G42">
            <v>-75.248699999999999</v>
          </cell>
          <cell r="H42">
            <v>50.361699999999999</v>
          </cell>
          <cell r="I42">
            <v>20.573399999999992</v>
          </cell>
          <cell r="J42">
            <v>9.5587000000000018</v>
          </cell>
          <cell r="K42">
            <v>34.290500000000016</v>
          </cell>
          <cell r="L42">
            <v>30</v>
          </cell>
          <cell r="M42">
            <v>30.1</v>
          </cell>
          <cell r="N42">
            <v>35.4</v>
          </cell>
          <cell r="O42">
            <v>40.800000000000004</v>
          </cell>
          <cell r="P42">
            <v>44.2</v>
          </cell>
          <cell r="Q42">
            <v>59.5</v>
          </cell>
          <cell r="R42">
            <v>70.399999999999991</v>
          </cell>
          <cell r="S42">
            <v>109.5</v>
          </cell>
          <cell r="T42">
            <v>91.65</v>
          </cell>
          <cell r="U42">
            <v>11.158000000000001</v>
          </cell>
          <cell r="V42">
            <v>29.737999999999996</v>
          </cell>
          <cell r="W42">
            <v>82.379833333333295</v>
          </cell>
          <cell r="X42">
            <v>71.772861111111098</v>
          </cell>
          <cell r="Y42">
            <v>95.318279733333341</v>
          </cell>
          <cell r="Z42">
            <v>109.36370532800001</v>
          </cell>
        </row>
        <row r="43">
          <cell r="E43">
            <v>493.64499999999998</v>
          </cell>
          <cell r="F43">
            <v>508.78019999999992</v>
          </cell>
          <cell r="G43">
            <v>403.95130000000006</v>
          </cell>
          <cell r="H43">
            <v>552.6961</v>
          </cell>
          <cell r="I43">
            <v>550.32230000000004</v>
          </cell>
          <cell r="J43">
            <v>579.07420000000002</v>
          </cell>
          <cell r="K43">
            <v>630.7025000000001</v>
          </cell>
          <cell r="L43">
            <v>917.4</v>
          </cell>
          <cell r="M43">
            <v>1113.05</v>
          </cell>
          <cell r="N43">
            <v>1243.2300000000002</v>
          </cell>
          <cell r="O43">
            <v>1364.7</v>
          </cell>
          <cell r="P43">
            <v>1492.6</v>
          </cell>
          <cell r="Q43">
            <v>1591.8999999999999</v>
          </cell>
          <cell r="R43">
            <v>1750.0391079818671</v>
          </cell>
          <cell r="S43">
            <v>1941.5607032302512</v>
          </cell>
          <cell r="T43">
            <v>2048.5540781108716</v>
          </cell>
          <cell r="U43">
            <v>481.15800000000002</v>
          </cell>
          <cell r="V43">
            <v>499.738</v>
          </cell>
          <cell r="W43">
            <v>564.81383333333326</v>
          </cell>
          <cell r="X43">
            <v>550.97286111111111</v>
          </cell>
          <cell r="Y43">
            <v>597.65267973333334</v>
          </cell>
          <cell r="Z43">
            <v>639.11260532800009</v>
          </cell>
        </row>
        <row r="44">
          <cell r="L44">
            <v>917.40000000000009</v>
          </cell>
          <cell r="M44">
            <v>1117</v>
          </cell>
          <cell r="N44">
            <v>1191.7000000000003</v>
          </cell>
          <cell r="O44">
            <v>1317.1999999999998</v>
          </cell>
          <cell r="P44">
            <v>1410.7499010000001</v>
          </cell>
          <cell r="Q44">
            <v>1529.5037240000001</v>
          </cell>
          <cell r="R44">
            <v>1694.6073836362284</v>
          </cell>
          <cell r="S44">
            <v>1933.7227435130308</v>
          </cell>
          <cell r="T44">
            <v>2019.0591762352574</v>
          </cell>
          <cell r="U44">
            <v>2078.1729564001039</v>
          </cell>
          <cell r="V44">
            <v>2171.5276501978474</v>
          </cell>
          <cell r="W44">
            <v>2356.5903697317804</v>
          </cell>
          <cell r="X44">
            <v>2600.6248116573697</v>
          </cell>
          <cell r="Y44">
            <v>2807.3110383017315</v>
          </cell>
          <cell r="Z44">
            <v>3047.353857160655</v>
          </cell>
        </row>
      </sheetData>
      <sheetData sheetId="22" refreshError="1">
        <row r="14">
          <cell r="C14">
            <v>-63.98</v>
          </cell>
          <cell r="D14">
            <v>-65.39</v>
          </cell>
          <cell r="E14">
            <v>-32.0518</v>
          </cell>
          <cell r="F14">
            <v>-4.9011999999999993</v>
          </cell>
          <cell r="G14">
            <v>29.920399999999997</v>
          </cell>
          <cell r="H14">
            <v>60.835699999999996</v>
          </cell>
          <cell r="I14">
            <v>73.793099999999995</v>
          </cell>
          <cell r="J14">
            <v>147.14789999999999</v>
          </cell>
          <cell r="K14">
            <v>135.7354</v>
          </cell>
          <cell r="L14">
            <v>165.36580000000001</v>
          </cell>
          <cell r="M14">
            <v>206.8</v>
          </cell>
          <cell r="N14">
            <v>196.17180000000002</v>
          </cell>
          <cell r="O14">
            <v>291.3</v>
          </cell>
          <cell r="P14">
            <v>341.4</v>
          </cell>
          <cell r="Q14">
            <v>469.74</v>
          </cell>
          <cell r="R14">
            <v>416.5</v>
          </cell>
          <cell r="S14">
            <v>279.8</v>
          </cell>
          <cell r="T14">
            <v>329.01499999999999</v>
          </cell>
          <cell r="U14">
            <v>356.5</v>
          </cell>
          <cell r="V14">
            <v>381.5</v>
          </cell>
          <cell r="W14">
            <v>411.5</v>
          </cell>
          <cell r="X14">
            <v>446.5</v>
          </cell>
          <cell r="Z14">
            <v>27.485000000000014</v>
          </cell>
        </row>
        <row r="15">
          <cell r="C15">
            <v>-40.229999999999997</v>
          </cell>
          <cell r="D15">
            <v>-49.23</v>
          </cell>
          <cell r="E15">
            <v>-13.701799999999999</v>
          </cell>
          <cell r="F15">
            <v>9.2644000000000002</v>
          </cell>
          <cell r="G15">
            <v>37.651699999999998</v>
          </cell>
          <cell r="H15">
            <v>56.296999999999997</v>
          </cell>
          <cell r="I15">
            <v>52.390999999999998</v>
          </cell>
          <cell r="J15">
            <v>86.656399999999991</v>
          </cell>
          <cell r="K15">
            <v>43.051099999999998</v>
          </cell>
          <cell r="L15">
            <v>72.771500000000003</v>
          </cell>
          <cell r="M15">
            <v>79.900000000000006</v>
          </cell>
          <cell r="N15">
            <v>84.084800000000001</v>
          </cell>
          <cell r="O15">
            <v>195.6</v>
          </cell>
          <cell r="P15">
            <v>252.5</v>
          </cell>
          <cell r="Q15">
            <v>365.04</v>
          </cell>
          <cell r="R15">
            <v>309.3</v>
          </cell>
          <cell r="S15">
            <v>211.1</v>
          </cell>
          <cell r="T15">
            <v>252.02500000000001</v>
          </cell>
          <cell r="U15">
            <v>310.8</v>
          </cell>
          <cell r="V15">
            <v>335.8</v>
          </cell>
          <cell r="W15">
            <v>365.8</v>
          </cell>
          <cell r="X15">
            <v>400.8</v>
          </cell>
          <cell r="Z15">
            <v>58.775000000000006</v>
          </cell>
        </row>
        <row r="16">
          <cell r="C16">
            <v>-23.75</v>
          </cell>
          <cell r="D16">
            <v>-16.16</v>
          </cell>
          <cell r="E16">
            <v>-18.350000000000001</v>
          </cell>
          <cell r="F16">
            <v>-14.1656</v>
          </cell>
          <cell r="G16">
            <v>-7.7313000000000001</v>
          </cell>
          <cell r="H16">
            <v>4.5386999999999995</v>
          </cell>
          <cell r="I16">
            <v>21.402099999999997</v>
          </cell>
          <cell r="J16">
            <v>60.491500000000002</v>
          </cell>
          <cell r="K16">
            <v>92.684300000000007</v>
          </cell>
          <cell r="L16">
            <v>92.594300000000004</v>
          </cell>
          <cell r="M16">
            <v>126.9</v>
          </cell>
          <cell r="N16">
            <v>112.087</v>
          </cell>
          <cell r="O16">
            <v>95.7</v>
          </cell>
          <cell r="P16">
            <v>88.9</v>
          </cell>
          <cell r="Q16">
            <v>104.7</v>
          </cell>
          <cell r="R16">
            <v>107.2</v>
          </cell>
          <cell r="S16">
            <v>68.7</v>
          </cell>
          <cell r="T16">
            <v>76.989999999999995</v>
          </cell>
          <cell r="U16">
            <v>45.7</v>
          </cell>
          <cell r="V16">
            <v>45.7</v>
          </cell>
          <cell r="W16">
            <v>45.7</v>
          </cell>
          <cell r="X16">
            <v>45.7</v>
          </cell>
          <cell r="Z16">
            <v>-31.289999999999992</v>
          </cell>
        </row>
        <row r="17">
          <cell r="Z17">
            <v>0</v>
          </cell>
        </row>
        <row r="18">
          <cell r="C18">
            <v>136.73000000000002</v>
          </cell>
          <cell r="D18">
            <v>144.05000000000001</v>
          </cell>
          <cell r="E18">
            <v>100.90900000000001</v>
          </cell>
          <cell r="F18">
            <v>112.4258</v>
          </cell>
          <cell r="G18">
            <v>77.802599999999998</v>
          </cell>
          <cell r="H18">
            <v>75.196200000000005</v>
          </cell>
          <cell r="I18">
            <v>55.657200000000003</v>
          </cell>
          <cell r="J18">
            <v>97.028999999999996</v>
          </cell>
          <cell r="K18">
            <v>117.70960000000001</v>
          </cell>
          <cell r="L18">
            <v>121.51690000000001</v>
          </cell>
          <cell r="M18">
            <v>92.2</v>
          </cell>
          <cell r="N18">
            <v>96.288799999999995</v>
          </cell>
          <cell r="O18">
            <v>99.899999999999991</v>
          </cell>
          <cell r="P18">
            <v>134.63</v>
          </cell>
          <cell r="Q18">
            <v>79.84</v>
          </cell>
          <cell r="R18">
            <v>111.89999999999999</v>
          </cell>
          <cell r="S18">
            <v>197.35699999999997</v>
          </cell>
          <cell r="T18">
            <v>213.22457737600001</v>
          </cell>
          <cell r="U18">
            <v>241.04301337599998</v>
          </cell>
          <cell r="V18">
            <v>239.68698485199997</v>
          </cell>
          <cell r="W18">
            <v>249.66096927065598</v>
          </cell>
          <cell r="X18">
            <v>259.927948784335</v>
          </cell>
          <cell r="Z18">
            <v>27.818435999999963</v>
          </cell>
        </row>
        <row r="19">
          <cell r="C19">
            <v>11.93</v>
          </cell>
          <cell r="D19">
            <v>6.21</v>
          </cell>
          <cell r="E19">
            <v>-2.5196999999999998</v>
          </cell>
          <cell r="F19">
            <v>10.354899999999999</v>
          </cell>
          <cell r="G19">
            <v>-8.0510000000000002</v>
          </cell>
          <cell r="H19">
            <v>5.8022</v>
          </cell>
          <cell r="I19">
            <v>-12.0634</v>
          </cell>
          <cell r="J19">
            <v>21.0075</v>
          </cell>
          <cell r="K19">
            <v>36.262500000000003</v>
          </cell>
          <cell r="L19">
            <v>19.120999999999999</v>
          </cell>
          <cell r="M19">
            <v>20.5</v>
          </cell>
          <cell r="N19">
            <v>-3.8412000000000002</v>
          </cell>
          <cell r="O19">
            <v>-61.7</v>
          </cell>
          <cell r="P19">
            <v>-59.4</v>
          </cell>
          <cell r="Q19">
            <v>-113</v>
          </cell>
          <cell r="R19">
            <v>-110.3</v>
          </cell>
          <cell r="S19">
            <v>-96.483000000000004</v>
          </cell>
          <cell r="T19">
            <v>-98.827422623999993</v>
          </cell>
          <cell r="U19">
            <v>-84.427022624000003</v>
          </cell>
          <cell r="V19">
            <v>-99.127022624000006</v>
          </cell>
          <cell r="W19">
            <v>-108.12702262400001</v>
          </cell>
          <cell r="X19">
            <v>-119.32702262399999</v>
          </cell>
          <cell r="Z19">
            <v>14.400399999999991</v>
          </cell>
        </row>
        <row r="20">
          <cell r="C20">
            <v>124.80000000000001</v>
          </cell>
          <cell r="D20">
            <v>137.84</v>
          </cell>
          <cell r="E20">
            <v>103.42870000000001</v>
          </cell>
          <cell r="F20">
            <v>102.07089999999999</v>
          </cell>
          <cell r="G20">
            <v>85.8536</v>
          </cell>
          <cell r="H20">
            <v>69.394000000000005</v>
          </cell>
          <cell r="I20">
            <v>67.720600000000005</v>
          </cell>
          <cell r="J20">
            <v>76.021500000000003</v>
          </cell>
          <cell r="K20">
            <v>81.447100000000006</v>
          </cell>
          <cell r="L20">
            <v>102.39590000000001</v>
          </cell>
          <cell r="M20">
            <v>71.7</v>
          </cell>
          <cell r="N20">
            <v>100.13</v>
          </cell>
          <cell r="O20">
            <v>161.6</v>
          </cell>
          <cell r="P20">
            <v>194.03</v>
          </cell>
          <cell r="Q20">
            <v>192.84</v>
          </cell>
          <cell r="R20">
            <v>222.2</v>
          </cell>
          <cell r="S20">
            <v>293.83999999999997</v>
          </cell>
          <cell r="T20">
            <v>312.05200000000002</v>
          </cell>
          <cell r="U20">
            <v>325.47003599999999</v>
          </cell>
          <cell r="V20">
            <v>338.81400747599997</v>
          </cell>
          <cell r="W20">
            <v>357.78799189465599</v>
          </cell>
          <cell r="X20">
            <v>379.254971408335</v>
          </cell>
          <cell r="Z20">
            <v>13.418035999999972</v>
          </cell>
        </row>
        <row r="21">
          <cell r="C21">
            <v>75.040000000000006</v>
          </cell>
          <cell r="D21">
            <v>85.57</v>
          </cell>
          <cell r="E21">
            <v>58.1539</v>
          </cell>
          <cell r="F21">
            <v>55.512599999999999</v>
          </cell>
          <cell r="G21">
            <v>56.861400000000003</v>
          </cell>
          <cell r="H21">
            <v>47.304300000000005</v>
          </cell>
          <cell r="I21">
            <v>49.3249</v>
          </cell>
          <cell r="J21">
            <v>57.132100000000001</v>
          </cell>
          <cell r="K21">
            <v>55.673999999999999</v>
          </cell>
          <cell r="L21">
            <v>73.680800000000005</v>
          </cell>
          <cell r="M21">
            <v>0</v>
          </cell>
          <cell r="Z21">
            <v>0</v>
          </cell>
        </row>
        <row r="22">
          <cell r="E22">
            <v>0.46610000000000001</v>
          </cell>
          <cell r="F22">
            <v>0.38319999999999999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5.5410000000000004</v>
          </cell>
          <cell r="M22">
            <v>0</v>
          </cell>
          <cell r="O22">
            <v>2.331</v>
          </cell>
          <cell r="P22">
            <v>0.51300000000000001</v>
          </cell>
          <cell r="Q22">
            <v>0.51300000000000001</v>
          </cell>
          <cell r="R22">
            <v>0.51300000000000001</v>
          </cell>
          <cell r="S22">
            <v>0.51300000000000001</v>
          </cell>
          <cell r="T22">
            <v>0.51300000000000001</v>
          </cell>
          <cell r="Z22">
            <v>-0.51300000000000001</v>
          </cell>
        </row>
        <row r="23">
          <cell r="C23">
            <v>49.76</v>
          </cell>
          <cell r="D23">
            <v>52.27</v>
          </cell>
          <cell r="E23">
            <v>45.274800000000006</v>
          </cell>
          <cell r="F23">
            <v>46.558300000000003</v>
          </cell>
          <cell r="G23">
            <v>28.9922</v>
          </cell>
          <cell r="H23">
            <v>22.089700000000001</v>
          </cell>
          <cell r="I23">
            <v>18.395700000000001</v>
          </cell>
          <cell r="J23">
            <v>18.889400000000002</v>
          </cell>
          <cell r="K23">
            <v>25.773099999999999</v>
          </cell>
          <cell r="L23">
            <v>28.7151</v>
          </cell>
          <cell r="M23">
            <v>0</v>
          </cell>
          <cell r="Z23">
            <v>0</v>
          </cell>
        </row>
        <row r="24">
          <cell r="E24">
            <v>51.826000000000001</v>
          </cell>
          <cell r="F24">
            <v>50.767300000000006</v>
          </cell>
          <cell r="G24">
            <v>50.329800000000006</v>
          </cell>
          <cell r="H24">
            <v>50.329800000000006</v>
          </cell>
          <cell r="I24">
            <v>50.329800000000006</v>
          </cell>
          <cell r="J24">
            <v>0</v>
          </cell>
          <cell r="K24">
            <v>0</v>
          </cell>
          <cell r="L24">
            <v>2</v>
          </cell>
          <cell r="M24">
            <v>0</v>
          </cell>
          <cell r="Z24">
            <v>0</v>
          </cell>
        </row>
        <row r="25">
          <cell r="Z25">
            <v>0</v>
          </cell>
        </row>
        <row r="26">
          <cell r="C26">
            <v>72.750000000000028</v>
          </cell>
          <cell r="D26">
            <v>78.660000000000011</v>
          </cell>
          <cell r="E26">
            <v>68.857200000000006</v>
          </cell>
          <cell r="F26">
            <v>107.52459999999999</v>
          </cell>
          <cell r="G26">
            <v>107.723</v>
          </cell>
          <cell r="H26">
            <v>136.03190000000001</v>
          </cell>
          <cell r="I26">
            <v>129.4503</v>
          </cell>
          <cell r="J26">
            <v>244.17689999999999</v>
          </cell>
          <cell r="K26">
            <v>253.44499999999999</v>
          </cell>
          <cell r="L26">
            <v>286.8827</v>
          </cell>
          <cell r="M26">
            <v>299</v>
          </cell>
          <cell r="N26">
            <v>292.4606</v>
          </cell>
          <cell r="O26">
            <v>391.2</v>
          </cell>
          <cell r="P26">
            <v>476.03</v>
          </cell>
          <cell r="Q26">
            <v>549.58000000000004</v>
          </cell>
          <cell r="R26">
            <v>528.4</v>
          </cell>
          <cell r="S26">
            <v>477.15699999999998</v>
          </cell>
          <cell r="T26">
            <v>542.23957737599994</v>
          </cell>
          <cell r="U26">
            <v>597.54301337599998</v>
          </cell>
          <cell r="V26">
            <v>621.18698485200002</v>
          </cell>
          <cell r="W26">
            <v>661.16096927065598</v>
          </cell>
          <cell r="X26">
            <v>706.42794878433506</v>
          </cell>
          <cell r="Z26">
            <v>55.303436000000033</v>
          </cell>
        </row>
        <row r="27">
          <cell r="C27">
            <v>96.83</v>
          </cell>
          <cell r="D27">
            <v>97.84</v>
          </cell>
          <cell r="E27">
            <v>104.1923</v>
          </cell>
          <cell r="F27">
            <v>134.02430000000001</v>
          </cell>
          <cell r="G27">
            <v>151.24799999999999</v>
          </cell>
          <cell r="H27">
            <v>176.0804</v>
          </cell>
          <cell r="I27">
            <v>170.61869999999999</v>
          </cell>
          <cell r="J27">
            <v>252.34870000000001</v>
          </cell>
          <cell r="K27">
            <v>247.71359999999999</v>
          </cell>
          <cell r="L27">
            <v>280.20529999999997</v>
          </cell>
          <cell r="M27">
            <v>295.3</v>
          </cell>
          <cell r="N27">
            <v>284.3938</v>
          </cell>
          <cell r="O27">
            <v>382.5</v>
          </cell>
          <cell r="P27">
            <v>480.04829999999998</v>
          </cell>
          <cell r="Q27">
            <v>539.1</v>
          </cell>
          <cell r="R27">
            <v>503.8</v>
          </cell>
          <cell r="S27">
            <v>444.35500000000002</v>
          </cell>
          <cell r="T27">
            <v>502.716216605</v>
          </cell>
          <cell r="U27">
            <v>558.01605260500003</v>
          </cell>
          <cell r="V27">
            <v>581.66042408099997</v>
          </cell>
          <cell r="W27">
            <v>621.63440849965605</v>
          </cell>
          <cell r="X27">
            <v>666.90138801333501</v>
          </cell>
          <cell r="Z27">
            <v>55.299836000000028</v>
          </cell>
        </row>
        <row r="28">
          <cell r="Z28">
            <v>0</v>
          </cell>
        </row>
        <row r="29">
          <cell r="C29">
            <v>61.85</v>
          </cell>
          <cell r="D29">
            <v>71.94</v>
          </cell>
          <cell r="E29">
            <v>84.371200000000002</v>
          </cell>
          <cell r="F29">
            <v>104.55070000000001</v>
          </cell>
          <cell r="G29">
            <v>115.68289999999999</v>
          </cell>
          <cell r="H29">
            <v>128.21270000000001</v>
          </cell>
          <cell r="I29">
            <v>111.3398</v>
          </cell>
          <cell r="J29">
            <v>186.22020000000001</v>
          </cell>
          <cell r="K29">
            <v>161.72999999999999</v>
          </cell>
          <cell r="L29">
            <v>189.7355</v>
          </cell>
          <cell r="M29">
            <v>87</v>
          </cell>
          <cell r="N29">
            <v>76.646500000000003</v>
          </cell>
          <cell r="O29">
            <v>165.4</v>
          </cell>
          <cell r="P29">
            <v>217.34829999999999</v>
          </cell>
          <cell r="Q29">
            <v>232.4</v>
          </cell>
          <cell r="R29">
            <v>177.9</v>
          </cell>
          <cell r="S29">
            <v>87.42</v>
          </cell>
          <cell r="T29">
            <v>137.962916605</v>
          </cell>
          <cell r="U29">
            <v>171.377554605</v>
          </cell>
          <cell r="V29">
            <v>178.29136228099</v>
          </cell>
          <cell r="W29">
            <v>187.60940560284601</v>
          </cell>
          <cell r="X29">
            <v>197.72035988188301</v>
          </cell>
          <cell r="Z29">
            <v>33.414637999999997</v>
          </cell>
        </row>
        <row r="30">
          <cell r="C30">
            <v>19.61</v>
          </cell>
          <cell r="D30">
            <v>23.68</v>
          </cell>
          <cell r="E30">
            <v>36.391100000000002</v>
          </cell>
          <cell r="F30">
            <v>41.073999999999998</v>
          </cell>
          <cell r="G30">
            <v>46.482999999999997</v>
          </cell>
          <cell r="H30">
            <v>51.730800000000002</v>
          </cell>
          <cell r="I30">
            <v>25.515999999999998</v>
          </cell>
          <cell r="J30">
            <v>77.341999999999999</v>
          </cell>
          <cell r="K30">
            <v>50.646699999999996</v>
          </cell>
          <cell r="L30">
            <v>68.873500000000007</v>
          </cell>
          <cell r="M30">
            <v>82.6</v>
          </cell>
          <cell r="N30">
            <v>71.6267</v>
          </cell>
          <cell r="O30">
            <v>160.30000000000001</v>
          </cell>
          <cell r="P30">
            <v>211.2</v>
          </cell>
          <cell r="Q30">
            <v>223.8</v>
          </cell>
          <cell r="R30">
            <v>170.9</v>
          </cell>
          <cell r="S30">
            <v>80.022999999999996</v>
          </cell>
          <cell r="T30">
            <v>129.87700000000001</v>
          </cell>
          <cell r="U30">
            <v>163.377554605</v>
          </cell>
          <cell r="V30">
            <v>170.29136228099</v>
          </cell>
          <cell r="W30">
            <v>179.60940560284601</v>
          </cell>
          <cell r="X30">
            <v>189.72035988188301</v>
          </cell>
          <cell r="Z30">
            <v>33.500554604999991</v>
          </cell>
        </row>
        <row r="31">
          <cell r="C31">
            <v>3</v>
          </cell>
          <cell r="D31">
            <v>3.41</v>
          </cell>
          <cell r="E31">
            <v>3.4744000000000002</v>
          </cell>
          <cell r="F31">
            <v>1.5943000000000001</v>
          </cell>
          <cell r="G31">
            <v>1.4837</v>
          </cell>
          <cell r="H31">
            <v>1.9416</v>
          </cell>
          <cell r="I31">
            <v>0.64029999999999998</v>
          </cell>
          <cell r="J31">
            <v>2.0356999999999998</v>
          </cell>
          <cell r="K31">
            <v>2.8439999999999999</v>
          </cell>
          <cell r="L31">
            <v>5.2945000000000002</v>
          </cell>
          <cell r="M31">
            <v>4.4000000000000004</v>
          </cell>
          <cell r="N31">
            <v>5.0198</v>
          </cell>
          <cell r="O31">
            <v>5.0999999999999996</v>
          </cell>
          <cell r="P31">
            <v>6.1482999999999999</v>
          </cell>
          <cell r="Q31">
            <v>8.6</v>
          </cell>
          <cell r="R31">
            <v>7</v>
          </cell>
          <cell r="S31">
            <v>7.3970000000000002</v>
          </cell>
          <cell r="T31">
            <v>8.0859166049999995</v>
          </cell>
          <cell r="U31">
            <v>8</v>
          </cell>
          <cell r="V31">
            <v>8</v>
          </cell>
          <cell r="W31">
            <v>8</v>
          </cell>
          <cell r="X31">
            <v>8</v>
          </cell>
          <cell r="Z31">
            <v>-8.5916604999999535E-2</v>
          </cell>
        </row>
        <row r="32">
          <cell r="Z32">
            <v>0</v>
          </cell>
        </row>
        <row r="33">
          <cell r="C33">
            <v>74.22</v>
          </cell>
          <cell r="D33">
            <v>70.75</v>
          </cell>
          <cell r="E33">
            <v>64.326799999999992</v>
          </cell>
          <cell r="F33">
            <v>91.356000000000009</v>
          </cell>
          <cell r="G33">
            <v>103.28129999999999</v>
          </cell>
          <cell r="H33">
            <v>122.408</v>
          </cell>
          <cell r="I33">
            <v>144.4624</v>
          </cell>
          <cell r="J33">
            <v>172.971</v>
          </cell>
          <cell r="K33">
            <v>194.22289999999998</v>
          </cell>
          <cell r="L33">
            <v>206.03730000000002</v>
          </cell>
          <cell r="M33">
            <v>208.3</v>
          </cell>
          <cell r="N33">
            <v>207.7473</v>
          </cell>
          <cell r="O33">
            <v>217.1</v>
          </cell>
          <cell r="P33">
            <v>262.7</v>
          </cell>
          <cell r="Q33">
            <v>306.7</v>
          </cell>
          <cell r="R33">
            <v>325.89999999999998</v>
          </cell>
          <cell r="S33">
            <v>356.935</v>
          </cell>
          <cell r="T33">
            <v>364.75330000000002</v>
          </cell>
          <cell r="U33">
            <v>386.63849800000003</v>
          </cell>
          <cell r="V33">
            <v>403.368961800009</v>
          </cell>
          <cell r="W33">
            <v>434.02500289681001</v>
          </cell>
          <cell r="X33">
            <v>469.18102813145202</v>
          </cell>
          <cell r="Z33">
            <v>21.885198000000003</v>
          </cell>
        </row>
        <row r="35">
          <cell r="C35">
            <v>39.24</v>
          </cell>
          <cell r="D35">
            <v>44.85</v>
          </cell>
          <cell r="E35">
            <v>44.505699999999997</v>
          </cell>
          <cell r="F35">
            <v>61.882400000000004</v>
          </cell>
          <cell r="G35">
            <v>67.716199999999986</v>
          </cell>
          <cell r="H35">
            <v>74.540300000000002</v>
          </cell>
          <cell r="I35">
            <v>85.183499999999995</v>
          </cell>
          <cell r="J35">
            <v>106.8425</v>
          </cell>
          <cell r="K35">
            <v>108.2393</v>
          </cell>
          <cell r="L35">
            <v>115.56750000000001</v>
          </cell>
        </row>
        <row r="36">
          <cell r="C36">
            <v>14.1</v>
          </cell>
          <cell r="D36">
            <v>24.25</v>
          </cell>
          <cell r="E36">
            <v>20.851099999999999</v>
          </cell>
          <cell r="F36">
            <v>23.03</v>
          </cell>
          <cell r="G36">
            <v>25.788499999999999</v>
          </cell>
          <cell r="H36">
            <v>19.5441</v>
          </cell>
          <cell r="I36">
            <v>26.9665</v>
          </cell>
          <cell r="J36">
            <v>27.906200000000002</v>
          </cell>
          <cell r="K36">
            <v>28.240099999999998</v>
          </cell>
          <cell r="L36">
            <v>32.399900000000002</v>
          </cell>
        </row>
        <row r="37">
          <cell r="C37">
            <v>25.14</v>
          </cell>
          <cell r="D37">
            <v>20.6</v>
          </cell>
          <cell r="E37">
            <v>23.654599999999999</v>
          </cell>
          <cell r="F37">
            <v>38.852400000000003</v>
          </cell>
          <cell r="G37">
            <v>41.927699999999994</v>
          </cell>
          <cell r="H37">
            <v>54.996199999999995</v>
          </cell>
          <cell r="I37">
            <v>58.216999999999999</v>
          </cell>
          <cell r="J37">
            <v>78.936300000000003</v>
          </cell>
          <cell r="K37">
            <v>79.999200000000002</v>
          </cell>
          <cell r="L37">
            <v>83.167600000000007</v>
          </cell>
        </row>
        <row r="39">
          <cell r="C39">
            <v>34.979999999999997</v>
          </cell>
          <cell r="D39">
            <v>25.900000000000002</v>
          </cell>
          <cell r="E39">
            <v>19.821100000000001</v>
          </cell>
          <cell r="F39">
            <v>29.473600000000005</v>
          </cell>
          <cell r="G39">
            <v>35.565100000000001</v>
          </cell>
          <cell r="H39">
            <v>47.867699999999999</v>
          </cell>
          <cell r="I39">
            <v>59.2789</v>
          </cell>
          <cell r="J39">
            <v>66.128500000000003</v>
          </cell>
          <cell r="K39">
            <v>85.983599999999996</v>
          </cell>
          <cell r="L39">
            <v>90.469799999999992</v>
          </cell>
        </row>
        <row r="40">
          <cell r="C40">
            <v>5.26</v>
          </cell>
          <cell r="D40">
            <v>6.8</v>
          </cell>
          <cell r="E40">
            <v>6.2015000000000002</v>
          </cell>
          <cell r="F40">
            <v>11.304200000000002</v>
          </cell>
          <cell r="G40">
            <v>14.7301</v>
          </cell>
          <cell r="H40">
            <v>15.6038</v>
          </cell>
          <cell r="I40">
            <v>19.964500000000001</v>
          </cell>
          <cell r="J40">
            <v>25.040599999999998</v>
          </cell>
          <cell r="K40">
            <v>43.1708</v>
          </cell>
          <cell r="L40">
            <v>36.835999999999999</v>
          </cell>
        </row>
        <row r="41">
          <cell r="C41">
            <v>29.72</v>
          </cell>
          <cell r="D41">
            <v>19.100000000000001</v>
          </cell>
          <cell r="E41">
            <v>13.6196</v>
          </cell>
          <cell r="F41">
            <v>18.169400000000003</v>
          </cell>
          <cell r="G41">
            <v>20.835000000000001</v>
          </cell>
          <cell r="H41">
            <v>32.2639</v>
          </cell>
          <cell r="I41">
            <v>39.314399999999999</v>
          </cell>
          <cell r="J41">
            <v>41.087900000000005</v>
          </cell>
          <cell r="K41">
            <v>42.812800000000003</v>
          </cell>
          <cell r="L41">
            <v>53.633800000000001</v>
          </cell>
        </row>
        <row r="42">
          <cell r="E42">
            <v>6.4813000000000001</v>
          </cell>
          <cell r="F42">
            <v>8.9649000000000001</v>
          </cell>
          <cell r="G42">
            <v>11.044600000000001</v>
          </cell>
          <cell r="H42">
            <v>14.713700000000001</v>
          </cell>
          <cell r="I42">
            <v>18.9344</v>
          </cell>
          <cell r="J42">
            <v>20.717099999999999</v>
          </cell>
          <cell r="K42">
            <v>20.139700000000001</v>
          </cell>
          <cell r="L42">
            <v>21.4788</v>
          </cell>
        </row>
        <row r="44">
          <cell r="C44">
            <v>-24.07999999999997</v>
          </cell>
          <cell r="D44">
            <v>-19.179999999999993</v>
          </cell>
          <cell r="E44">
            <v>-35.335099999999997</v>
          </cell>
          <cell r="F44">
            <v>-26.499700000000018</v>
          </cell>
          <cell r="G44">
            <v>-43.524999999999991</v>
          </cell>
          <cell r="H44">
            <v>-40.04849999999999</v>
          </cell>
          <cell r="I44">
            <v>-41.168399999999991</v>
          </cell>
          <cell r="J44">
            <v>-8.1718000000000188</v>
          </cell>
          <cell r="K44">
            <v>5.7314000000000078</v>
          </cell>
          <cell r="L44">
            <v>6.6774000000000342</v>
          </cell>
          <cell r="M44">
            <v>3.6999999999999886</v>
          </cell>
          <cell r="N44">
            <v>8.0668000000000006</v>
          </cell>
          <cell r="O44">
            <v>8.6999999999999886</v>
          </cell>
          <cell r="P44">
            <v>-4.0183000000000106</v>
          </cell>
          <cell r="Q44">
            <v>10.480000000000018</v>
          </cell>
          <cell r="R44">
            <v>24.599999999999966</v>
          </cell>
          <cell r="S44">
            <v>32.801999999999964</v>
          </cell>
          <cell r="T44">
            <v>39.523360770999943</v>
          </cell>
          <cell r="U44">
            <v>39.526960770999949</v>
          </cell>
          <cell r="V44">
            <v>39.526560771000049</v>
          </cell>
          <cell r="W44">
            <v>39.526560770999936</v>
          </cell>
          <cell r="X44">
            <v>39.526560771000049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3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3"/>
      <sheetName val="arr2def"/>
    </sheetNames>
    <sheetDataSet>
      <sheetData sheetId="0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Assump"/>
      <sheetName val="Last"/>
      <sheetName val="wage growth"/>
      <sheetName val="Gin"/>
      <sheetName val="Din"/>
      <sheetName val="Gasoline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PIVO"/>
      <sheetName val="M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Table"/>
      <sheetName val="Table_GEF"/>
      <sheetName val="FY 08-13MTB(LY std)"/>
      <sheetName val="Fiscal Scenarios"/>
      <sheetName val="A"/>
      <sheetName val="Cover"/>
      <sheetName val="Sheet1"/>
      <sheetName val="unemp"/>
      <sheetName val="IN"/>
      <sheetName val="END"/>
      <sheetName val="ExIm bfSBA04"/>
      <sheetName val="KA bfSBA04"/>
      <sheetName val="Table 3"/>
      <sheetName val="Table 4"/>
      <sheetName val="Table 5"/>
      <sheetName val="Table 6"/>
      <sheetName val="J3"/>
      <sheetName val="WEO"/>
      <sheetName val="продаја - графикони"/>
      <sheetName val="PIB EN CORR"/>
      <sheetName val="CIRRs"/>
      <sheetName val="2012"/>
      <sheetName val="2016"/>
      <sheetName val="2013"/>
      <sheetName val="2014"/>
      <sheetName val="2015"/>
      <sheetName val="TOC"/>
      <sheetName val="Control"/>
      <sheetName val="zambia"/>
      <sheetName val="BCC"/>
      <sheetName val="RED47"/>
      <sheetName val="Mnth BoM data"/>
      <sheetName val="E"/>
      <sheetName val="QPro_index"/>
      <sheetName val="kursi"/>
      <sheetName val="Dep fon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>
            <v>0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>
            <v>0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>
            <v>0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>
            <v>0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>
            <v>0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>
            <v>0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>
            <v>0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>
            <v>0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>
            <v>0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>
            <v>0</v>
          </cell>
          <cell r="C378" t="str">
            <v>Debt relief</v>
          </cell>
        </row>
        <row r="379">
          <cell r="C379">
            <v>0</v>
          </cell>
          <cell r="D379">
            <v>0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>
            <v>0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>
            <v>0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>
            <v>0</v>
          </cell>
        </row>
        <row r="416">
          <cell r="C416" t="str">
            <v xml:space="preserve">       Private sector</v>
          </cell>
        </row>
        <row r="417">
          <cell r="D417">
            <v>0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>
            <v>0</v>
          </cell>
        </row>
        <row r="421">
          <cell r="C421" t="str">
            <v xml:space="preserve">  Private sector</v>
          </cell>
          <cell r="D421">
            <v>0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>
            <v>0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>
            <v>0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>
            <v>0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>
            <v>0</v>
          </cell>
        </row>
        <row r="519">
          <cell r="B519" t="str">
            <v>I.1+I.2</v>
          </cell>
        </row>
        <row r="524">
          <cell r="D5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èses"/>
      <sheetName val="Sortie FMI"/>
      <sheetName val="TB UEMOA"/>
      <sheetName val="Indicateurs"/>
      <sheetName val="Sortie"/>
      <sheetName val="Finances Publiques"/>
      <sheetName val="TOFE"/>
      <sheetName val="Budget"/>
      <sheetName val="balance des payements"/>
      <sheetName val="Recettes détaillées"/>
      <sheetName val="Dépenses Détaillées"/>
      <sheetName val="Dépenses sectorielles"/>
      <sheetName val="Structure sectorielles"/>
      <sheetName val="TOFE Recettes - dépenses"/>
      <sheetName val="TOFE Financement"/>
      <sheetName val="Finances Publiques(financement)"/>
      <sheetName val="Balance des paiements"/>
      <sheetName val="BP détaillée"/>
      <sheetName val="BP-FMI"/>
      <sheetName val="BIPEN 2001"/>
      <sheetName val="BIPEN 2001 (2)"/>
      <sheetName val="PIB"/>
      <sheetName val="PIB constant"/>
      <sheetName val="Epargne - Investisement 1"/>
      <sheetName val="Epargne - Investisement"/>
      <sheetName val="Equilibre emplois - ressources"/>
      <sheetName val="monnaie"/>
      <sheetName val="Dette"/>
      <sheetName val="comerce intra communautaire"/>
      <sheetName val="Energie+Coton"/>
      <sheetName val="Feuil1"/>
      <sheetName val="Tableau des flux"/>
      <sheetName val="UEMOA"/>
      <sheetName val="Feuil3"/>
      <sheetName val="dette old"/>
    </sheetNames>
    <sheetDataSet>
      <sheetData sheetId="0"/>
      <sheetData sheetId="1"/>
      <sheetData sheetId="2"/>
      <sheetData sheetId="3" refreshError="1">
        <row r="30">
          <cell r="C30" t="e">
            <v>#VALUE!</v>
          </cell>
          <cell r="D30">
            <v>2.6455319148936063</v>
          </cell>
          <cell r="E30">
            <v>-0.67035076300591134</v>
          </cell>
          <cell r="F30">
            <v>4.8277128547579151</v>
          </cell>
          <cell r="G30">
            <v>5.4574203956567535</v>
          </cell>
          <cell r="H30">
            <v>7.5066885462149902</v>
          </cell>
          <cell r="I30">
            <v>4.7226985042549519</v>
          </cell>
          <cell r="J30">
            <v>48.78976278143297</v>
          </cell>
          <cell r="K30">
            <v>22.036285778679286</v>
          </cell>
          <cell r="L30">
            <v>11.531464979915974</v>
          </cell>
          <cell r="M30">
            <v>9.60979608057424</v>
          </cell>
          <cell r="N30">
            <v>9.4040335372762129</v>
          </cell>
          <cell r="O30">
            <v>5.7995028997514408</v>
          </cell>
          <cell r="P30">
            <v>9.6064996084573639</v>
          </cell>
          <cell r="Q30">
            <v>9.0812748197498081</v>
          </cell>
          <cell r="R30">
            <v>6.8046110013426864</v>
          </cell>
          <cell r="S30">
            <v>5.6515451167972408</v>
          </cell>
          <cell r="T30">
            <v>3.4444229466963128</v>
          </cell>
          <cell r="U30">
            <v>6.5636090731830743</v>
          </cell>
          <cell r="V30">
            <v>8.0123564050584193</v>
          </cell>
          <cell r="W30">
            <v>8.5278560924284328</v>
          </cell>
        </row>
        <row r="31">
          <cell r="C31">
            <v>0.2</v>
          </cell>
          <cell r="D31">
            <v>1.2</v>
          </cell>
          <cell r="E31">
            <v>2.2000000000000002</v>
          </cell>
          <cell r="F31">
            <v>3.2</v>
          </cell>
          <cell r="G31">
            <v>4.7</v>
          </cell>
          <cell r="H31">
            <v>4</v>
          </cell>
          <cell r="I31">
            <v>3.5</v>
          </cell>
          <cell r="J31">
            <v>4.4000000000000004</v>
          </cell>
          <cell r="K31">
            <v>4.5999999999999996</v>
          </cell>
          <cell r="L31">
            <v>5.5</v>
          </cell>
          <cell r="M31">
            <v>5.7</v>
          </cell>
          <cell r="N31">
            <v>4.5</v>
          </cell>
          <cell r="O31">
            <v>5</v>
          </cell>
          <cell r="P31">
            <v>4.8685871984795348</v>
          </cell>
          <cell r="Q31">
            <v>6.2463536041907242</v>
          </cell>
          <cell r="R31">
            <v>4.4105104508651571</v>
          </cell>
          <cell r="S31">
            <v>3.8918604390931755</v>
          </cell>
          <cell r="T31">
            <v>3.0244280728964679</v>
          </cell>
          <cell r="U31">
            <v>4.6295947810814031</v>
          </cell>
          <cell r="V31">
            <v>5.755078671826519</v>
          </cell>
          <cell r="W31">
            <v>6.2736205593348249</v>
          </cell>
        </row>
        <row r="33">
          <cell r="C33">
            <v>-0.59084194977844229</v>
          </cell>
          <cell r="D33">
            <v>1.4528644543503333</v>
          </cell>
          <cell r="E33">
            <v>-26.769731489015459</v>
          </cell>
          <cell r="F33">
            <v>10.888888888888903</v>
          </cell>
          <cell r="G33">
            <v>23.246492985971923</v>
          </cell>
          <cell r="H33">
            <v>13.33333333333333</v>
          </cell>
          <cell r="I33">
            <v>11.334289813486365</v>
          </cell>
          <cell r="J33">
            <v>35.953608247422707</v>
          </cell>
          <cell r="K33">
            <v>41.32701421800946</v>
          </cell>
          <cell r="L33">
            <v>15.29175050301812</v>
          </cell>
          <cell r="M33">
            <v>5.8173356602675863</v>
          </cell>
          <cell r="N33">
            <v>16.135239142385927</v>
          </cell>
          <cell r="O33">
            <v>10.343195266272165</v>
          </cell>
          <cell r="P33">
            <v>14.208494208494237</v>
          </cell>
          <cell r="Q33">
            <v>5.596874765231763</v>
          </cell>
          <cell r="R33">
            <v>13.1794251565168</v>
          </cell>
          <cell r="S33">
            <v>7.7725744099066407</v>
          </cell>
          <cell r="T33">
            <v>2.4496937882764636</v>
          </cell>
          <cell r="U33">
            <v>6.547110731568484</v>
          </cell>
          <cell r="V33">
            <v>9.9385519636655104</v>
          </cell>
          <cell r="W33">
            <v>7.3924665856622163</v>
          </cell>
        </row>
        <row r="34">
          <cell r="C34">
            <v>-6.2863274613252145</v>
          </cell>
          <cell r="D34">
            <v>2.6049618320610479</v>
          </cell>
          <cell r="E34">
            <v>-12.67553240956012</v>
          </cell>
          <cell r="F34">
            <v>3.8551650692225659</v>
          </cell>
          <cell r="G34">
            <v>1.8252666119770389</v>
          </cell>
          <cell r="H34">
            <v>7.7542799597180467</v>
          </cell>
          <cell r="I34">
            <v>-0.74766355140191143</v>
          </cell>
          <cell r="J34">
            <v>52.259887005649695</v>
          </cell>
          <cell r="K34">
            <v>37.229437229437238</v>
          </cell>
          <cell r="L34">
            <v>-0.72104551599819766</v>
          </cell>
          <cell r="M34">
            <v>6.400363141171117</v>
          </cell>
          <cell r="N34">
            <v>-4.4880546075085404</v>
          </cell>
          <cell r="O34">
            <v>15.204573878863691</v>
          </cell>
          <cell r="P34">
            <v>26.419044665012393</v>
          </cell>
          <cell r="Q34">
            <v>1.7880144758633421</v>
          </cell>
          <cell r="R34">
            <v>15.462954593389355</v>
          </cell>
          <cell r="S34">
            <v>13.880117950992933</v>
          </cell>
          <cell r="T34">
            <v>-2.5274977085242845</v>
          </cell>
          <cell r="U34">
            <v>8.2118626137245077</v>
          </cell>
          <cell r="V34">
            <v>6.224726092155386</v>
          </cell>
          <cell r="W34">
            <v>4.5675247031381039</v>
          </cell>
        </row>
        <row r="36">
          <cell r="C36" t="e">
            <v>#VALUE!</v>
          </cell>
          <cell r="D36">
            <v>-29.282629251961456</v>
          </cell>
          <cell r="E36">
            <v>6.0171298471323631</v>
          </cell>
          <cell r="F36">
            <v>8.3068584674120594</v>
          </cell>
          <cell r="G36">
            <v>61.106320165927563</v>
          </cell>
          <cell r="H36">
            <v>-13.222591556834928</v>
          </cell>
          <cell r="I36">
            <v>22.252939289392671</v>
          </cell>
          <cell r="J36">
            <v>57.629807501963448</v>
          </cell>
          <cell r="K36">
            <v>18.107476635514018</v>
          </cell>
          <cell r="L36">
            <v>7.2700296735905168</v>
          </cell>
          <cell r="M36">
            <v>7.5149838635315769</v>
          </cell>
          <cell r="N36">
            <v>4.801029159519743</v>
          </cell>
          <cell r="O36">
            <v>6.1691271542905657</v>
          </cell>
          <cell r="P36">
            <v>7.6392103844290737</v>
          </cell>
          <cell r="Q36">
            <v>-1.9680201989871637</v>
          </cell>
          <cell r="R36">
            <v>13.979324730301922</v>
          </cell>
          <cell r="S36">
            <v>0.70756760525796381</v>
          </cell>
          <cell r="T36">
            <v>4.0622440093433188</v>
          </cell>
          <cell r="U36">
            <v>4.8338984082571645</v>
          </cell>
          <cell r="V36">
            <v>17.490115581731214</v>
          </cell>
          <cell r="W36">
            <v>11.483978079345579</v>
          </cell>
        </row>
        <row r="37">
          <cell r="C37" t="e">
            <v>#VALUE!</v>
          </cell>
          <cell r="D37">
            <v>-19.864140452074842</v>
          </cell>
          <cell r="E37">
            <v>-19.007098809839849</v>
          </cell>
          <cell r="F37">
            <v>10.143368278830046</v>
          </cell>
          <cell r="G37">
            <v>115.76281774607575</v>
          </cell>
          <cell r="H37">
            <v>-21.894969464929549</v>
          </cell>
          <cell r="I37">
            <v>7.1347403582130653</v>
          </cell>
          <cell r="J37">
            <v>30.728329168648362</v>
          </cell>
          <cell r="K37">
            <v>33.878729547641953</v>
          </cell>
          <cell r="L37">
            <v>0.71890726096333069</v>
          </cell>
          <cell r="M37">
            <v>10.099928622412557</v>
          </cell>
          <cell r="N37">
            <v>9.487067747163703</v>
          </cell>
          <cell r="O37">
            <v>15.780605176096163</v>
          </cell>
          <cell r="P37">
            <v>-6.0525567719217133</v>
          </cell>
          <cell r="Q37">
            <v>10.330508453355215</v>
          </cell>
          <cell r="R37">
            <v>16.712825792600228</v>
          </cell>
          <cell r="S37">
            <v>0.54963386686055493</v>
          </cell>
          <cell r="T37">
            <v>3.1321187802363371</v>
          </cell>
          <cell r="U37">
            <v>4.3013282617188064</v>
          </cell>
          <cell r="V37">
            <v>6.2922672829835324</v>
          </cell>
          <cell r="W37">
            <v>6.8946841991975427</v>
          </cell>
        </row>
        <row r="39">
          <cell r="C39" t="str">
            <v>en % du P.I.B</v>
          </cell>
        </row>
        <row r="42">
          <cell r="C42">
            <v>14.149361702127662</v>
          </cell>
          <cell r="D42">
            <v>16.5487921663896</v>
          </cell>
          <cell r="E42">
            <v>13.228088480801334</v>
          </cell>
          <cell r="F42">
            <v>14.200102561162442</v>
          </cell>
          <cell r="G42">
            <v>14.613904814148739</v>
          </cell>
          <cell r="H42">
            <v>14.635246977474713</v>
          </cell>
          <cell r="I42">
            <v>14.335727651355104</v>
          </cell>
          <cell r="J42">
            <v>17.793554203290508</v>
          </cell>
          <cell r="K42">
            <v>21.41373101251212</v>
          </cell>
          <cell r="L42">
            <v>17.55213895995297</v>
          </cell>
          <cell r="M42">
            <v>18.551250094418005</v>
          </cell>
          <cell r="N42">
            <v>18.157967412317042</v>
          </cell>
          <cell r="O42">
            <v>18.337248760114853</v>
          </cell>
          <cell r="P42">
            <v>18.665047243110003</v>
          </cell>
          <cell r="Q42">
            <v>19.670985841693319</v>
          </cell>
          <cell r="R42">
            <v>18.448393047868727</v>
          </cell>
          <cell r="S42">
            <v>20.305697978136791</v>
          </cell>
          <cell r="T42">
            <v>20.265499553448272</v>
          </cell>
          <cell r="U42">
            <v>20.447744166249812</v>
          </cell>
          <cell r="V42">
            <v>20.458404764419598</v>
          </cell>
          <cell r="W42">
            <v>20.557739097885086</v>
          </cell>
        </row>
        <row r="43">
          <cell r="C43">
            <v>5.6851063829787236</v>
          </cell>
          <cell r="D43">
            <v>6.9398093832524239</v>
          </cell>
          <cell r="E43">
            <v>5.4048414023372278</v>
          </cell>
          <cell r="F43">
            <v>5.3549985826174753</v>
          </cell>
          <cell r="G43">
            <v>5.3232767448880027</v>
          </cell>
          <cell r="H43">
            <v>4.2316670924671937</v>
          </cell>
          <cell r="I43">
            <v>4.7785758837850345</v>
          </cell>
          <cell r="J43">
            <v>6.1302681992337167</v>
          </cell>
          <cell r="K43">
            <v>6.4730596980469999</v>
          </cell>
          <cell r="L43">
            <v>6.1018520818327078</v>
          </cell>
          <cell r="M43">
            <v>5.1287861620968354</v>
          </cell>
          <cell r="N43">
            <v>4.7224523612261819</v>
          </cell>
          <cell r="O43">
            <v>5.2270947533281129</v>
          </cell>
          <cell r="P43">
            <v>6.4360178851042784</v>
          </cell>
          <cell r="Q43">
            <v>6.7571255471743426</v>
          </cell>
          <cell r="R43">
            <v>7.3589157864074695</v>
          </cell>
          <cell r="S43">
            <v>7.5408725935958207</v>
          </cell>
          <cell r="T43">
            <v>6.990521881034879</v>
          </cell>
          <cell r="U43">
            <v>6.9636416291498824</v>
          </cell>
          <cell r="V43">
            <v>6.9061334589978784</v>
          </cell>
          <cell r="W43">
            <v>6.8800299457233764</v>
          </cell>
        </row>
        <row r="44">
          <cell r="C44">
            <v>8.4642553191489363</v>
          </cell>
          <cell r="D44">
            <v>9.6089827831371757</v>
          </cell>
          <cell r="E44">
            <v>7.8232470784641057</v>
          </cell>
          <cell r="F44">
            <v>8.8451039785449694</v>
          </cell>
          <cell r="G44">
            <v>9.2906280692607357</v>
          </cell>
          <cell r="H44">
            <v>10.40357988500752</v>
          </cell>
          <cell r="I44">
            <v>9.5571517675700708</v>
          </cell>
          <cell r="J44">
            <v>11.663286004056793</v>
          </cell>
          <cell r="K44">
            <v>14.940671314465119</v>
          </cell>
          <cell r="L44">
            <v>11.450286878120265</v>
          </cell>
          <cell r="M44">
            <v>13.422463932321172</v>
          </cell>
          <cell r="N44">
            <v>13.43551505109086</v>
          </cell>
          <cell r="O44">
            <v>13.110154006786741</v>
          </cell>
          <cell r="P44">
            <v>12.229029358005723</v>
          </cell>
          <cell r="Q44">
            <v>12.913860294518978</v>
          </cell>
          <cell r="R44">
            <v>11.089477261461257</v>
          </cell>
          <cell r="S44">
            <v>12.76482538454097</v>
          </cell>
          <cell r="T44">
            <v>13.274977672413394</v>
          </cell>
          <cell r="U44">
            <v>13.484102537099931</v>
          </cell>
          <cell r="V44">
            <v>13.552271305421719</v>
          </cell>
          <cell r="W44">
            <v>13.677709152161707</v>
          </cell>
        </row>
        <row r="45">
          <cell r="C45">
            <v>3.5642553191489381</v>
          </cell>
          <cell r="D45">
            <v>4.1618128075550178</v>
          </cell>
          <cell r="E45">
            <v>5.5976627712854787</v>
          </cell>
          <cell r="F45">
            <v>6.3846712468825579</v>
          </cell>
          <cell r="G45">
            <v>3.6014987478029745</v>
          </cell>
          <cell r="H45">
            <v>4.2914547540848398</v>
          </cell>
          <cell r="I45">
            <v>2.9700944984339777</v>
          </cell>
          <cell r="J45">
            <v>11.933739012846516</v>
          </cell>
          <cell r="K45">
            <v>12.359758068239532</v>
          </cell>
          <cell r="L45">
            <v>14.027636339551099</v>
          </cell>
          <cell r="M45">
            <v>14.18536143213235</v>
          </cell>
          <cell r="N45">
            <v>12.745098039215682</v>
          </cell>
          <cell r="O45">
            <v>12.274862960062643</v>
          </cell>
          <cell r="P45">
            <v>14.361071915504207</v>
          </cell>
          <cell r="Q45">
            <v>11.136703527023053</v>
          </cell>
          <cell r="R45">
            <v>9.7101915873283566</v>
          </cell>
          <cell r="S45">
            <v>10.186707942343046</v>
          </cell>
          <cell r="T45">
            <v>8.7771964032712653</v>
          </cell>
          <cell r="U45">
            <v>8.7267110724973502</v>
          </cell>
          <cell r="V45">
            <v>8.5506057085286873</v>
          </cell>
          <cell r="W45">
            <v>8.3024518061014483</v>
          </cell>
        </row>
        <row r="46">
          <cell r="C46">
            <v>-1.729574468085106</v>
          </cell>
          <cell r="D46">
            <v>-0.45685005617348856</v>
          </cell>
          <cell r="E46">
            <v>-3.6012103505843065</v>
          </cell>
          <cell r="F46">
            <v>-3.2360913367669024</v>
          </cell>
          <cell r="G46">
            <v>-0.46814632366390879</v>
          </cell>
          <cell r="H46">
            <v>0.26864940462551085</v>
          </cell>
          <cell r="I46">
            <v>1.6850767590189328</v>
          </cell>
          <cell r="J46">
            <v>3.1746846854557345</v>
          </cell>
          <cell r="K46">
            <v>4.1553164966064893</v>
          </cell>
          <cell r="L46">
            <v>4.9758658089300649</v>
          </cell>
          <cell r="M46">
            <v>4.5698315582747941</v>
          </cell>
          <cell r="N46">
            <v>6.12453824221154</v>
          </cell>
          <cell r="O46">
            <v>6.4434873401200701</v>
          </cell>
          <cell r="P46">
            <v>5.6977512636862135</v>
          </cell>
          <cell r="Q46">
            <v>5.5448819413363601</v>
          </cell>
          <cell r="R46">
            <v>7.5679294361741833</v>
          </cell>
          <cell r="S46">
            <v>6.6411918351552659</v>
          </cell>
          <cell r="T46">
            <v>6.2741687357676232</v>
          </cell>
          <cell r="U46">
            <v>6.4458661330946319</v>
          </cell>
          <cell r="V46">
            <v>6.9386329105696332</v>
          </cell>
          <cell r="W46">
            <v>7.2101815459479708</v>
          </cell>
        </row>
        <row r="47">
          <cell r="C47">
            <v>5.2938297872340447</v>
          </cell>
          <cell r="D47">
            <v>4.6186628637285061</v>
          </cell>
          <cell r="E47">
            <v>9.1988731218697843</v>
          </cell>
          <cell r="F47">
            <v>9.6207625836494604</v>
          </cell>
          <cell r="G47">
            <v>4.0696450714668835</v>
          </cell>
          <cell r="H47">
            <v>4.022805349459329</v>
          </cell>
          <cell r="I47">
            <v>1.2850177394150448</v>
          </cell>
          <cell r="J47">
            <v>8.7590543273907819</v>
          </cell>
          <cell r="K47">
            <v>8.2044415716330423</v>
          </cell>
          <cell r="L47">
            <v>9.0517705306210345</v>
          </cell>
          <cell r="M47">
            <v>9.6155298738575556</v>
          </cell>
          <cell r="N47">
            <v>6.620559797004141</v>
          </cell>
          <cell r="O47">
            <v>5.8313756199425715</v>
          </cell>
          <cell r="P47">
            <v>8.6633206518179922</v>
          </cell>
          <cell r="Q47">
            <v>5.5918215856866933</v>
          </cell>
          <cell r="R47">
            <v>2.1422621511541724</v>
          </cell>
          <cell r="S47">
            <v>3.5455161071877792</v>
          </cell>
          <cell r="T47">
            <v>2.5030276675036425</v>
          </cell>
          <cell r="U47">
            <v>2.2808449394027184</v>
          </cell>
          <cell r="V47">
            <v>1.611972797959053</v>
          </cell>
          <cell r="W47">
            <v>1.0922702601534775</v>
          </cell>
        </row>
        <row r="48">
          <cell r="C48">
            <v>8.5951063829787255</v>
          </cell>
          <cell r="D48">
            <v>9.622912149641186</v>
          </cell>
          <cell r="E48">
            <v>-10.105321368948243</v>
          </cell>
          <cell r="F48">
            <v>16.41020403938094</v>
          </cell>
          <cell r="G48">
            <v>7.4851122862171149</v>
          </cell>
          <cell r="H48">
            <v>5.9698462991788714</v>
          </cell>
          <cell r="I48">
            <v>8.7195596332736542</v>
          </cell>
          <cell r="J48">
            <v>15.314401622718051</v>
          </cell>
          <cell r="K48">
            <v>15.139203102636317</v>
          </cell>
          <cell r="L48">
            <v>16.95851237343004</v>
          </cell>
          <cell r="M48">
            <v>17.267165193745765</v>
          </cell>
          <cell r="N48">
            <v>15.796741231703944</v>
          </cell>
          <cell r="O48">
            <v>16.15766118506917</v>
          </cell>
          <cell r="P48">
            <v>18.552521120974522</v>
          </cell>
          <cell r="Q48">
            <v>17.113321034418775</v>
          </cell>
          <cell r="R48">
            <v>14.390257613156109</v>
          </cell>
          <cell r="S48">
            <v>10.984811840959667</v>
          </cell>
          <cell r="T48">
            <v>12.003572413857579</v>
          </cell>
          <cell r="U48">
            <v>11.879437292121921</v>
          </cell>
          <cell r="V48">
            <v>11.469462702816909</v>
          </cell>
          <cell r="W48">
            <v>10.991952086842605</v>
          </cell>
        </row>
        <row r="49">
          <cell r="C49">
            <v>-5.554255319148937</v>
          </cell>
          <cell r="D49">
            <v>-6.9258800167484127</v>
          </cell>
          <cell r="E49">
            <v>-23.333409849749579</v>
          </cell>
          <cell r="F49">
            <v>2.2101014782184976</v>
          </cell>
          <cell r="G49">
            <v>-7.1287925279316244</v>
          </cell>
          <cell r="H49">
            <v>-8.6654006782958426</v>
          </cell>
          <cell r="I49">
            <v>-5.6161680180814484</v>
          </cell>
          <cell r="J49">
            <v>-2.479152580572459</v>
          </cell>
          <cell r="K49">
            <v>-6.2745279098758013</v>
          </cell>
          <cell r="L49">
            <v>-0.59362658652293199</v>
          </cell>
          <cell r="M49">
            <v>-1.284084900672241</v>
          </cell>
          <cell r="N49">
            <v>-2.3612261806130976</v>
          </cell>
          <cell r="O49">
            <v>-2.1795875750456859</v>
          </cell>
          <cell r="P49">
            <v>-0.11252612213548137</v>
          </cell>
          <cell r="Q49">
            <v>-2.5576648072745414</v>
          </cell>
          <cell r="R49">
            <v>-4.0581354347126171</v>
          </cell>
          <cell r="S49">
            <v>-9.3208861371771263</v>
          </cell>
          <cell r="T49">
            <v>-8.2619271395906928</v>
          </cell>
          <cell r="U49">
            <v>-8.5683068741278934</v>
          </cell>
          <cell r="V49">
            <v>-8.9889420616026872</v>
          </cell>
          <cell r="W49">
            <v>-9.5657870110424792</v>
          </cell>
        </row>
        <row r="53">
          <cell r="C53">
            <v>12.887234042553191</v>
          </cell>
          <cell r="D53">
            <v>12.737493626071132</v>
          </cell>
          <cell r="E53">
            <v>9.3906510851419025</v>
          </cell>
          <cell r="F53">
            <v>9.9336219060450581</v>
          </cell>
          <cell r="G53">
            <v>11.609273752149367</v>
          </cell>
          <cell r="H53">
            <v>12.238472877384373</v>
          </cell>
          <cell r="I53">
            <v>13.011139950235741</v>
          </cell>
          <cell r="J53">
            <v>11.888663511381566</v>
          </cell>
          <cell r="K53">
            <v>13.767948658756175</v>
          </cell>
          <cell r="L53">
            <v>14.232135317056207</v>
          </cell>
          <cell r="M53">
            <v>13.739708437193141</v>
          </cell>
          <cell r="N53">
            <v>14.585059375863022</v>
          </cell>
          <cell r="O53">
            <v>15.211433046202036</v>
          </cell>
          <cell r="P53">
            <v>15.850108060799828</v>
          </cell>
          <cell r="Q53">
            <v>15.343805604375211</v>
          </cell>
          <cell r="R53">
            <v>16.259626637231005</v>
          </cell>
          <cell r="S53">
            <v>16.586050111250845</v>
          </cell>
          <cell r="T53">
            <v>16.426557436839815</v>
          </cell>
          <cell r="U53">
            <v>16.424014251989924</v>
          </cell>
          <cell r="V53">
            <v>16.716905402221336</v>
          </cell>
          <cell r="W53">
            <v>16.542017593112483</v>
          </cell>
        </row>
        <row r="54">
          <cell r="C54">
            <v>10.685106382978724</v>
          </cell>
          <cell r="D54">
            <v>9.8707802518064653</v>
          </cell>
          <cell r="E54">
            <v>7.1786310517529213</v>
          </cell>
          <cell r="F54">
            <v>7.8831949394666179</v>
          </cell>
          <cell r="G54">
            <v>8.9098816439260169</v>
          </cell>
          <cell r="H54">
            <v>10.061183584994614</v>
          </cell>
          <cell r="I54">
            <v>11.032641865019482</v>
          </cell>
          <cell r="J54">
            <v>10.254676583276991</v>
          </cell>
          <cell r="K54">
            <v>11.35786509072441</v>
          </cell>
          <cell r="L54">
            <v>11.806297243817424</v>
          </cell>
          <cell r="M54">
            <v>11.994863660397311</v>
          </cell>
          <cell r="N54">
            <v>12.607014636840653</v>
          </cell>
          <cell r="O54">
            <v>13.012268337248759</v>
          </cell>
          <cell r="P54">
            <v>13.938354737111588</v>
          </cell>
          <cell r="Q54">
            <v>13.495693560535766</v>
          </cell>
          <cell r="R54">
            <v>14.436761872639654</v>
          </cell>
          <cell r="S54">
            <v>14.859243494243977</v>
          </cell>
          <cell r="T54">
            <v>14.560859623774322</v>
          </cell>
          <cell r="U54">
            <v>14.875075691756839</v>
          </cell>
          <cell r="V54">
            <v>15.295054395957067</v>
          </cell>
          <cell r="W54">
            <v>15.220662549129703</v>
          </cell>
        </row>
        <row r="55">
          <cell r="C55">
            <v>2.2021276595744679</v>
          </cell>
          <cell r="D55">
            <v>2.8667133742646667</v>
          </cell>
          <cell r="E55">
            <v>2.2120200333889812</v>
          </cell>
          <cell r="F55">
            <v>2.0504269665784385</v>
          </cell>
          <cell r="G55">
            <v>2.6993921082233485</v>
          </cell>
          <cell r="H55">
            <v>2.1772892923897595</v>
          </cell>
          <cell r="I55">
            <v>1.9784980852162597</v>
          </cell>
          <cell r="J55">
            <v>1.6339869281045751</v>
          </cell>
          <cell r="K55">
            <v>2.4100835680317649</v>
          </cell>
          <cell r="L55">
            <v>2.4258380732387832</v>
          </cell>
          <cell r="M55">
            <v>1.7448447767958304</v>
          </cell>
          <cell r="N55">
            <v>1.9780447390223697</v>
          </cell>
          <cell r="O55">
            <v>2.1991647089532762</v>
          </cell>
          <cell r="P55">
            <v>1.9117533236882367</v>
          </cell>
          <cell r="Q55">
            <v>1.8481120438394445</v>
          </cell>
          <cell r="R55">
            <v>1.8228647645913503</v>
          </cell>
          <cell r="S55">
            <v>1.7268066170068688</v>
          </cell>
          <cell r="T55">
            <v>1.8656978130654962</v>
          </cell>
          <cell r="U55">
            <v>1.5489385602330865</v>
          </cell>
          <cell r="V55">
            <v>1.4218510062642691</v>
          </cell>
          <cell r="W55">
            <v>1.321355043982781</v>
          </cell>
        </row>
        <row r="56">
          <cell r="C56">
            <v>22.297872340425535</v>
          </cell>
          <cell r="D56">
            <v>22.289059228827156</v>
          </cell>
          <cell r="E56">
            <v>19.59515859766277</v>
          </cell>
          <cell r="F56">
            <v>19.413362891332945</v>
          </cell>
          <cell r="G56">
            <v>18.744729814446053</v>
          </cell>
          <cell r="H56">
            <v>18.787899539169704</v>
          </cell>
          <cell r="I56">
            <v>17.806482766946338</v>
          </cell>
          <cell r="J56">
            <v>18.221771467207571</v>
          </cell>
          <cell r="K56">
            <v>20.490327346599564</v>
          </cell>
          <cell r="L56">
            <v>18.239321758856789</v>
          </cell>
          <cell r="M56">
            <v>17.705264748092755</v>
          </cell>
          <cell r="N56">
            <v>15.457056061861365</v>
          </cell>
          <cell r="O56">
            <v>16.831114591490476</v>
          </cell>
          <cell r="P56">
            <v>19.412839885449593</v>
          </cell>
          <cell r="Q56">
            <v>18.114882050498327</v>
          </cell>
          <cell r="R56">
            <v>19.583403600758377</v>
          </cell>
          <cell r="S56">
            <v>21.108638870078359</v>
          </cell>
          <cell r="T56">
            <v>19.890022023650879</v>
          </cell>
          <cell r="U56">
            <v>20.197667377510992</v>
          </cell>
          <cell r="V56">
            <v>19.863391155274247</v>
          </cell>
          <cell r="W56">
            <v>19.138548572711958</v>
          </cell>
        </row>
        <row r="57">
          <cell r="C57">
            <v>8.8824081237911017</v>
          </cell>
          <cell r="D57">
            <v>8.4570447130403519</v>
          </cell>
          <cell r="E57">
            <v>7.7003338898163598</v>
          </cell>
          <cell r="F57">
            <v>7.226262027844399</v>
          </cell>
          <cell r="G57">
            <v>7.0410717228483142</v>
          </cell>
          <cell r="H57">
            <v>6.8830435694902086</v>
          </cell>
          <cell r="I57">
            <v>6.3211337129366951</v>
          </cell>
          <cell r="J57">
            <v>5.1498760423709715</v>
          </cell>
          <cell r="K57">
            <v>4.9771457592686641</v>
          </cell>
          <cell r="L57">
            <v>4.8185589031569007</v>
          </cell>
          <cell r="M57">
            <v>4.6831331671576404</v>
          </cell>
          <cell r="N57">
            <v>4.458022645677989</v>
          </cell>
          <cell r="O57">
            <v>4.3265465935787004</v>
          </cell>
          <cell r="P57">
            <v>4.3265996272944305</v>
          </cell>
          <cell r="Q57">
            <v>4.3173556605936216</v>
          </cell>
          <cell r="R57">
            <v>4.601877545597171</v>
          </cell>
          <cell r="S57">
            <v>4.9821031246976881</v>
          </cell>
          <cell r="T57">
            <v>5.5325655449100122</v>
          </cell>
          <cell r="U57">
            <v>5.1909187443505429</v>
          </cell>
          <cell r="V57">
            <v>5.0414774250684511</v>
          </cell>
          <cell r="W57">
            <v>4.8324911098633727</v>
          </cell>
        </row>
        <row r="58">
          <cell r="C58">
            <v>5.6851063829787236</v>
          </cell>
          <cell r="D58">
            <v>6.9398093832524239</v>
          </cell>
          <cell r="E58">
            <v>5.4048414023372278</v>
          </cell>
          <cell r="F58">
            <v>5.3549985826174753</v>
          </cell>
          <cell r="G58">
            <v>5.3232767448880027</v>
          </cell>
          <cell r="H58">
            <v>4.2316670924671937</v>
          </cell>
          <cell r="I58">
            <v>4.7785758837850345</v>
          </cell>
          <cell r="J58">
            <v>6.0175794455713323</v>
          </cell>
          <cell r="K58">
            <v>7.2210166674361691</v>
          </cell>
          <cell r="L58">
            <v>5.9445451760595445</v>
          </cell>
          <cell r="M58">
            <v>6.3222297756628141</v>
          </cell>
          <cell r="N58">
            <v>5.3465893399613371</v>
          </cell>
          <cell r="O58">
            <v>5.7687287914382672</v>
          </cell>
          <cell r="P58">
            <v>6.931966349331093</v>
          </cell>
          <cell r="Q58">
            <v>5.4471819839095277</v>
          </cell>
          <cell r="R58">
            <v>6.1682023293012609</v>
          </cell>
          <cell r="S58">
            <v>7.0039663345264591</v>
          </cell>
          <cell r="T58">
            <v>6.7305399301415418</v>
          </cell>
          <cell r="U58">
            <v>7.1685578636056482</v>
          </cell>
          <cell r="V58">
            <v>7.0255689435240773</v>
          </cell>
          <cell r="W58">
            <v>6.8575706531910914</v>
          </cell>
        </row>
        <row r="59">
          <cell r="C59">
            <v>0.72765957446808516</v>
          </cell>
          <cell r="D59">
            <v>0.74621606271531449</v>
          </cell>
          <cell r="E59">
            <v>0.29215358931552587</v>
          </cell>
          <cell r="F59">
            <v>0.17916352135151403</v>
          </cell>
          <cell r="G59">
            <v>0.30202988623478028</v>
          </cell>
          <cell r="H59">
            <v>0.26338176924069673</v>
          </cell>
          <cell r="I59">
            <v>0.50300798776684574</v>
          </cell>
          <cell r="J59">
            <v>0.39441063781834573</v>
          </cell>
          <cell r="K59">
            <v>1.2188928390045708</v>
          </cell>
          <cell r="L59">
            <v>0.60438969060215419</v>
          </cell>
          <cell r="M59">
            <v>0.89885943047057926</v>
          </cell>
          <cell r="N59">
            <v>1.0328638497652582</v>
          </cell>
          <cell r="O59">
            <v>1.4291307752545028</v>
          </cell>
          <cell r="P59">
            <v>1.7254005394109344</v>
          </cell>
          <cell r="Q59">
            <v>2.5494776600041482</v>
          </cell>
          <cell r="R59">
            <v>2.7851452108278272</v>
          </cell>
          <cell r="S59">
            <v>3.4536132340137375</v>
          </cell>
          <cell r="T59">
            <v>2.6998845044210964</v>
          </cell>
          <cell r="U59">
            <v>3.075937480802815</v>
          </cell>
          <cell r="V59">
            <v>3.2093208427107789</v>
          </cell>
          <cell r="W59">
            <v>3.1031255848774095</v>
          </cell>
        </row>
        <row r="60">
          <cell r="C60">
            <v>-2.8148936170212759</v>
          </cell>
          <cell r="D60">
            <v>-1.2022369899302285</v>
          </cell>
          <cell r="E60">
            <v>-1.9616026711185299</v>
          </cell>
          <cell r="F60">
            <v>-1.2581260610461857</v>
          </cell>
          <cell r="G60">
            <v>0.50967543302119245</v>
          </cell>
          <cell r="H60">
            <v>1.2466737077392906</v>
          </cell>
          <cell r="I60">
            <v>2.1461674144718739</v>
          </cell>
          <cell r="J60">
            <v>2.242506197881454</v>
          </cell>
          <cell r="K60">
            <v>2.1330624682579971</v>
          </cell>
          <cell r="L60">
            <v>3.6511760761034253</v>
          </cell>
          <cell r="M60">
            <v>2.9987159150993272</v>
          </cell>
          <cell r="N60">
            <v>4.507042253521127</v>
          </cell>
          <cell r="O60">
            <v>3.9898198903680493</v>
          </cell>
          <cell r="P60">
            <v>2.5446383386619522</v>
          </cell>
          <cell r="Q60">
            <v>0.86674599102688665</v>
          </cell>
          <cell r="R60">
            <v>1.0164502429975317</v>
          </cell>
          <cell r="S60">
            <v>-0.47402534584502326</v>
          </cell>
          <cell r="T60">
            <v>0.93191371965902958</v>
          </cell>
          <cell r="U60">
            <v>0.69194113155885517</v>
          </cell>
          <cell r="V60">
            <v>1.0516309037284988</v>
          </cell>
          <cell r="W60">
            <v>1.4423984607898197</v>
          </cell>
        </row>
        <row r="61">
          <cell r="C61">
            <v>-7.7723404255319153</v>
          </cell>
          <cell r="D61">
            <v>-7.3958303104673391</v>
          </cell>
          <cell r="E61">
            <v>-7.0742904841402332</v>
          </cell>
          <cell r="F61">
            <v>-6.4339611223121471</v>
          </cell>
          <cell r="G61">
            <v>-4.5115714256320301</v>
          </cell>
          <cell r="H61">
            <v>-2.8971994616476713</v>
          </cell>
          <cell r="I61">
            <v>-2.1294004815463148</v>
          </cell>
          <cell r="J61">
            <v>-3.3806626098715324</v>
          </cell>
          <cell r="K61">
            <v>-4.1460824599473671</v>
          </cell>
          <cell r="L61">
            <v>-1.7469345851651299</v>
          </cell>
          <cell r="M61">
            <v>-2.3717803459475788</v>
          </cell>
          <cell r="N61">
            <v>6.3518365092516196E-2</v>
          </cell>
          <cell r="O61">
            <v>-0.64996084573218615</v>
          </cell>
          <cell r="P61">
            <v>-2.6774072552556829</v>
          </cell>
          <cell r="Q61">
            <v>-2.0516991059635181</v>
          </cell>
          <cell r="R61">
            <v>-2.5316714448515696</v>
          </cell>
          <cell r="S61">
            <v>-3.9276385798587605</v>
          </cell>
          <cell r="T61">
            <v>-3.0566582967441489</v>
          </cell>
          <cell r="U61">
            <v>-3.4006792512439774</v>
          </cell>
          <cell r="V61">
            <v>-2.7646171970847995</v>
          </cell>
          <cell r="W61">
            <v>-2.3120466075238615</v>
          </cell>
        </row>
        <row r="62">
          <cell r="C62">
            <v>-9.4106382978723406</v>
          </cell>
          <cell r="D62">
            <v>-9.5515656027560247</v>
          </cell>
          <cell r="E62">
            <v>-10.621869782971618</v>
          </cell>
          <cell r="F62">
            <v>-9.4797409852878864</v>
          </cell>
          <cell r="G62">
            <v>-7.1354560622966829</v>
          </cell>
          <cell r="H62">
            <v>-7.9541294310690471</v>
          </cell>
          <cell r="I62">
            <v>-4.7953428167105976</v>
          </cell>
          <cell r="J62">
            <v>-6.3331079558260059</v>
          </cell>
          <cell r="K62">
            <v>-6.7223786878433911</v>
          </cell>
          <cell r="L62">
            <v>-4.0071864418005836</v>
          </cell>
          <cell r="M62">
            <v>-3.9655563108996144</v>
          </cell>
          <cell r="N62">
            <v>-0.87199668599834279</v>
          </cell>
          <cell r="O62">
            <v>-1.6196815452884381</v>
          </cell>
          <cell r="P62">
            <v>-3.5627318246497675</v>
          </cell>
          <cell r="Q62">
            <v>-2.7710764461231125</v>
          </cell>
          <cell r="R62">
            <v>-3.3237769635273731</v>
          </cell>
          <cell r="S62">
            <v>-4.5225887588275135</v>
          </cell>
          <cell r="T62">
            <v>-3.4634645868110616</v>
          </cell>
          <cell r="U62">
            <v>-3.7736531255210664</v>
          </cell>
          <cell r="V62">
            <v>-3.1464857530529176</v>
          </cell>
          <cell r="W62">
            <v>-2.5965309795994744</v>
          </cell>
        </row>
        <row r="66">
          <cell r="C66">
            <v>16.650638297872337</v>
          </cell>
          <cell r="D66">
            <v>11.471413706330814</v>
          </cell>
          <cell r="E66">
            <v>12.243739565943237</v>
          </cell>
          <cell r="F66">
            <v>12.650099216776713</v>
          </cell>
          <cell r="G66">
            <v>19.325438901336081</v>
          </cell>
          <cell r="H66">
            <v>15.599136458972584</v>
          </cell>
          <cell r="I66">
            <v>18.210381414190191</v>
          </cell>
          <cell r="J66">
            <v>19.292314627000227</v>
          </cell>
          <cell r="K66">
            <v>18.671222124751836</v>
          </cell>
          <cell r="L66">
            <v>17.95782519063113</v>
          </cell>
          <cell r="M66">
            <v>17.614623460986479</v>
          </cell>
          <cell r="N66">
            <v>16.873515603424472</v>
          </cell>
          <cell r="O66">
            <v>16.932465413730096</v>
          </cell>
          <cell r="P66">
            <v>16.628550437303897</v>
          </cell>
          <cell r="Q66">
            <v>14.94417555426987</v>
          </cell>
          <cell r="R66">
            <v>15.948066495980703</v>
          </cell>
          <cell r="S66">
            <v>15.201774692850924</v>
          </cell>
          <cell r="T66">
            <v>15.292567181487042</v>
          </cell>
          <cell r="U66">
            <v>15.044342512878568</v>
          </cell>
          <cell r="V66">
            <v>16.364438287603893</v>
          </cell>
          <cell r="W66">
            <v>16.810178925697176</v>
          </cell>
        </row>
        <row r="67">
          <cell r="C67">
            <v>26.203531914893617</v>
          </cell>
          <cell r="D67">
            <v>20.457223164204848</v>
          </cell>
          <cell r="E67">
            <v>16.680717863105173</v>
          </cell>
          <cell r="F67">
            <v>17.526571940922224</v>
          </cell>
          <cell r="G67">
            <v>35.858856903714198</v>
          </cell>
          <cell r="H67">
            <v>26.051933617258882</v>
          </cell>
          <cell r="I67">
            <v>26.651978833423875</v>
          </cell>
          <cell r="J67">
            <v>23.416723011043498</v>
          </cell>
          <cell r="K67">
            <v>25.689089985687243</v>
          </cell>
          <cell r="L67">
            <v>23.198628946126522</v>
          </cell>
          <cell r="M67">
            <v>23.302364226905354</v>
          </cell>
          <cell r="N67">
            <v>23.320049986191663</v>
          </cell>
          <cell r="O67">
            <v>25.520058470373272</v>
          </cell>
          <cell r="P67">
            <v>21.874106489006373</v>
          </cell>
          <cell r="Q67">
            <v>22.124615749888108</v>
          </cell>
          <cell r="R67">
            <v>24.177106208574155</v>
          </cell>
          <cell r="S67">
            <v>23.009594176260038</v>
          </cell>
          <cell r="T67">
            <v>22.940126998377455</v>
          </cell>
          <cell r="U67">
            <v>22.453122010724098</v>
          </cell>
          <cell r="V67">
            <v>22.095557633714929</v>
          </cell>
          <cell r="W67">
            <v>21.763054578813399</v>
          </cell>
        </row>
        <row r="68">
          <cell r="C68">
            <v>-9.5528936170212777</v>
          </cell>
          <cell r="D68">
            <v>-8.9858094578740317</v>
          </cell>
          <cell r="E68">
            <v>-4.4369782971619358</v>
          </cell>
          <cell r="F68">
            <v>-4.8764727241455104</v>
          </cell>
          <cell r="G68">
            <v>-16.533418002378109</v>
          </cell>
          <cell r="H68">
            <v>-10.452797158286298</v>
          </cell>
          <cell r="I68">
            <v>-8.441597419233684</v>
          </cell>
          <cell r="J68">
            <v>-4.1244083840432753</v>
          </cell>
          <cell r="K68">
            <v>-7.0178678609354073</v>
          </cell>
          <cell r="L68">
            <v>-5.2408037554953903</v>
          </cell>
          <cell r="M68">
            <v>-5.6877407659188766</v>
          </cell>
          <cell r="N68">
            <v>-6.446534382767191</v>
          </cell>
          <cell r="O68">
            <v>-8.5875930566431755</v>
          </cell>
          <cell r="P68">
            <v>-5.2455560517024757</v>
          </cell>
          <cell r="Q68">
            <v>-7.1804401956182362</v>
          </cell>
          <cell r="R68">
            <v>-8.2290397125934547</v>
          </cell>
          <cell r="S68">
            <v>-7.8078194834091121</v>
          </cell>
          <cell r="T68">
            <v>-7.6475598168904133</v>
          </cell>
          <cell r="U68">
            <v>-7.4087794978455301</v>
          </cell>
          <cell r="V68">
            <v>-5.7311193461110372</v>
          </cell>
          <cell r="W68">
            <v>-4.956618868538273</v>
          </cell>
        </row>
        <row r="69">
          <cell r="C69">
            <v>42.854170212765958</v>
          </cell>
          <cell r="D69">
            <v>31.928636870535662</v>
          </cell>
          <cell r="E69">
            <v>28.92445742904841</v>
          </cell>
          <cell r="F69">
            <v>30.176671157698941</v>
          </cell>
          <cell r="G69">
            <v>55.184295805050283</v>
          </cell>
          <cell r="H69">
            <v>41.651070076231463</v>
          </cell>
          <cell r="I69">
            <v>44.862360247614063</v>
          </cell>
          <cell r="J69">
            <v>42.709037638043725</v>
          </cell>
          <cell r="K69">
            <v>44.360312110439075</v>
          </cell>
          <cell r="L69">
            <v>41.156454136757652</v>
          </cell>
          <cell r="M69">
            <v>40.91698768789184</v>
          </cell>
          <cell r="N69">
            <v>40.193565589616135</v>
          </cell>
          <cell r="O69">
            <v>42.452523884103371</v>
          </cell>
          <cell r="P69">
            <v>38.502656926310266</v>
          </cell>
          <cell r="Q69">
            <v>37.068791304157976</v>
          </cell>
          <cell r="R69">
            <v>40.125172704554856</v>
          </cell>
          <cell r="S69">
            <v>38.211368869110963</v>
          </cell>
          <cell r="T69">
            <v>38.232694179864495</v>
          </cell>
          <cell r="U69">
            <v>37.497464523602666</v>
          </cell>
          <cell r="V69">
            <v>38.459995921318821</v>
          </cell>
          <cell r="W69">
            <v>38.573233504510576</v>
          </cell>
        </row>
        <row r="70">
          <cell r="C70">
            <v>-5.6619148936170225</v>
          </cell>
          <cell r="D70">
            <v>-5.5945061915204999</v>
          </cell>
          <cell r="E70">
            <v>-21.908743739565942</v>
          </cell>
          <cell r="F70">
            <v>2.2096237088282225</v>
          </cell>
          <cell r="G70">
            <v>-5.9963503463622105</v>
          </cell>
          <cell r="H70">
            <v>-8.1050120672747283</v>
          </cell>
          <cell r="I70">
            <v>-2.1598324648062071</v>
          </cell>
          <cell r="J70">
            <v>-2.4791525805724621</v>
          </cell>
          <cell r="K70">
            <v>-5.909783461840342</v>
          </cell>
          <cell r="L70">
            <v>-4.8599554573077315</v>
          </cell>
          <cell r="M70">
            <v>-4.8719691819623847</v>
          </cell>
          <cell r="N70">
            <v>-8.0122962579397967</v>
          </cell>
          <cell r="O70">
            <v>-6.2513884103367268</v>
          </cell>
          <cell r="P70">
            <v>-3.4141785295395954</v>
          </cell>
          <cell r="Q70">
            <v>-2.9940788913510952</v>
          </cell>
          <cell r="R70">
            <v>-5.5675651698427515</v>
          </cell>
          <cell r="S70">
            <v>-9.3072874141433672</v>
          </cell>
          <cell r="T70">
            <v>-6.1980388663664749</v>
          </cell>
          <cell r="U70">
            <v>-5.88836246917481</v>
          </cell>
          <cell r="V70">
            <v>-4.6119194826087346</v>
          </cell>
          <cell r="W70">
            <v>-4.2098473918397898</v>
          </cell>
        </row>
        <row r="71">
          <cell r="C71">
            <v>-9.6008085106382985</v>
          </cell>
          <cell r="D71">
            <v>-6.5179485691307004</v>
          </cell>
          <cell r="E71">
            <v>9.2108096828046726</v>
          </cell>
          <cell r="F71">
            <v>10.067377428262924</v>
          </cell>
          <cell r="G71">
            <v>11.960477879236745</v>
          </cell>
          <cell r="H71">
            <v>7.7591391279078445</v>
          </cell>
          <cell r="I71">
            <v>7.142713426289837E-3</v>
          </cell>
          <cell r="J71">
            <v>2.4340770791075022</v>
          </cell>
          <cell r="K71">
            <v>-2.7240408144420307</v>
          </cell>
          <cell r="L71">
            <v>0.97695867795964797</v>
          </cell>
          <cell r="M71">
            <v>3.0213762368757786E-2</v>
          </cell>
          <cell r="N71">
            <v>-3.8059306130903083</v>
          </cell>
          <cell r="O71">
            <v>0.95325789611067546</v>
          </cell>
          <cell r="P71">
            <v>4.0726785384702389</v>
          </cell>
          <cell r="Q71">
            <v>7.1028569323305</v>
          </cell>
          <cell r="R71">
            <v>-2.8474915806848906</v>
          </cell>
          <cell r="S71">
            <v>-6.3026023024088218</v>
          </cell>
          <cell r="T71">
            <v>-1.2671782138865899</v>
          </cell>
          <cell r="U71">
            <v>1.0969819831679077</v>
          </cell>
          <cell r="V71">
            <v>1.011545430170866</v>
          </cell>
          <cell r="W71">
            <v>0.9320606400898368</v>
          </cell>
        </row>
        <row r="76">
          <cell r="C76">
            <v>56.538297872340429</v>
          </cell>
          <cell r="D76">
            <v>59.216390221253064</v>
          </cell>
          <cell r="E76">
            <v>48.399415692821371</v>
          </cell>
          <cell r="F76">
            <v>48.276606181061851</v>
          </cell>
          <cell r="G76">
            <v>53.221441328146213</v>
          </cell>
          <cell r="H76">
            <v>49.406908152631487</v>
          </cell>
          <cell r="I76">
            <v>53.880538956291957</v>
          </cell>
          <cell r="J76">
            <v>70.816993464052274</v>
          </cell>
          <cell r="K76">
            <v>64.921741539313913</v>
          </cell>
          <cell r="L76">
            <v>62.687629881688636</v>
          </cell>
          <cell r="M76">
            <v>56.522395951355833</v>
          </cell>
          <cell r="N76">
            <v>53.265672466169569</v>
          </cell>
          <cell r="O76">
            <v>55.311929000261038</v>
          </cell>
          <cell r="P76">
            <v>54.54915432749268</v>
          </cell>
          <cell r="Q76">
            <v>51.761645562020362</v>
          </cell>
          <cell r="R76">
            <v>48.121211205993433</v>
          </cell>
          <cell r="S76">
            <v>40.272927445100123</v>
          </cell>
          <cell r="T76">
            <v>38.635169526000531</v>
          </cell>
          <cell r="U76">
            <v>36.381591764736854</v>
          </cell>
          <cell r="V76">
            <v>36.381591764736854</v>
          </cell>
          <cell r="W76">
            <v>36.381591764736854</v>
          </cell>
        </row>
        <row r="77">
          <cell r="C77">
            <v>206.42429892022065</v>
          </cell>
          <cell r="D77">
            <v>305.77229768059169</v>
          </cell>
          <cell r="E77">
            <v>264.67567444195919</v>
          </cell>
          <cell r="F77">
            <v>236.92566214328284</v>
          </cell>
          <cell r="G77">
            <v>239.55138281150434</v>
          </cell>
          <cell r="H77">
            <v>232.80326973673323</v>
          </cell>
          <cell r="I77">
            <v>272.32589278147833</v>
          </cell>
          <cell r="J77">
            <v>275.26500219010074</v>
          </cell>
          <cell r="K77">
            <v>259.05305821665439</v>
          </cell>
          <cell r="L77">
            <v>264.55625436757509</v>
          </cell>
          <cell r="M77">
            <v>240.8432571612488</v>
          </cell>
          <cell r="N77">
            <v>265.64426050009291</v>
          </cell>
          <cell r="O77">
            <v>230.15528421706608</v>
          </cell>
          <cell r="P77">
            <v>231.54538807733016</v>
          </cell>
          <cell r="Q77">
            <v>246.90190387709632</v>
          </cell>
          <cell r="R77">
            <v>225.17949804358653</v>
          </cell>
          <cell r="S77">
            <v>200.92656696610652</v>
          </cell>
          <cell r="T77">
            <v>196.26099669635065</v>
          </cell>
          <cell r="U77">
            <v>188.4994782526835</v>
          </cell>
          <cell r="V77">
            <v>179.17556028099219</v>
          </cell>
          <cell r="W77">
            <v>177.98257201872707</v>
          </cell>
        </row>
        <row r="78">
          <cell r="C78">
            <v>24.594111706672884</v>
          </cell>
          <cell r="D78">
            <v>30.236864356891331</v>
          </cell>
          <cell r="E78">
            <v>48.751540603460079</v>
          </cell>
          <cell r="F78">
            <v>11.899528122160673</v>
          </cell>
          <cell r="G78">
            <v>8.4965376609031829</v>
          </cell>
          <cell r="H78">
            <v>12.633825889828405</v>
          </cell>
          <cell r="I78">
            <v>16.381078286808698</v>
          </cell>
          <cell r="J78">
            <v>10.280332895313185</v>
          </cell>
          <cell r="K78">
            <v>8.0213706705969052</v>
          </cell>
          <cell r="L78">
            <v>6.7575122292103424</v>
          </cell>
          <cell r="M78">
            <v>9.14708722240103</v>
          </cell>
          <cell r="N78">
            <v>9.8131709970870364</v>
          </cell>
          <cell r="O78">
            <v>9.585277882093477</v>
          </cell>
          <cell r="P78">
            <v>7.9354088851853382</v>
          </cell>
          <cell r="Q78">
            <v>6.5347868914091141</v>
          </cell>
          <cell r="R78">
            <v>4.6332219728200768</v>
          </cell>
          <cell r="S78">
            <v>4.0411575827839696</v>
          </cell>
          <cell r="T78">
            <v>11.674629496369242</v>
          </cell>
          <cell r="U78">
            <v>11.08995383248582</v>
          </cell>
          <cell r="V78">
            <v>10.677764125409491</v>
          </cell>
          <cell r="W78">
            <v>10.176091429755129</v>
          </cell>
        </row>
        <row r="79">
          <cell r="C79">
            <v>3.0839742095859557</v>
          </cell>
          <cell r="D79">
            <v>2.8149717967654579</v>
          </cell>
          <cell r="E79">
            <v>2.2024923540420871</v>
          </cell>
          <cell r="F79">
            <v>5.7250603280674506</v>
          </cell>
          <cell r="G79">
            <v>4.1463103785207531</v>
          </cell>
          <cell r="H79">
            <v>4.2691906739695202</v>
          </cell>
          <cell r="I79">
            <v>4.4406027016491247</v>
          </cell>
          <cell r="J79">
            <v>5.7599649583880863</v>
          </cell>
          <cell r="K79">
            <v>4.093588798820929</v>
          </cell>
          <cell r="L79">
            <v>3.9447938504542277</v>
          </cell>
          <cell r="M79">
            <v>5.02092050209205</v>
          </cell>
          <cell r="N79">
            <v>6.0325177497882407</v>
          </cell>
          <cell r="O79">
            <v>6.5712103327666345</v>
          </cell>
          <cell r="P79">
            <v>4.8774965440788867</v>
          </cell>
          <cell r="Q79">
            <v>3.9833561529306545</v>
          </cell>
          <cell r="R79">
            <v>3.2777554266010638</v>
          </cell>
          <cell r="S79">
            <v>0</v>
          </cell>
          <cell r="T79">
            <v>8.1829295249220824</v>
          </cell>
          <cell r="U79">
            <v>8.1367250443761279</v>
          </cell>
          <cell r="V79">
            <v>8.0568401973063555</v>
          </cell>
          <cell r="W79">
            <v>7.793673767327304</v>
          </cell>
        </row>
        <row r="82">
          <cell r="C82">
            <v>0</v>
          </cell>
          <cell r="D82">
            <v>0</v>
          </cell>
          <cell r="E82">
            <v>0</v>
          </cell>
        </row>
        <row r="83">
          <cell r="C83">
            <v>128.72999999999999</v>
          </cell>
          <cell r="D83">
            <v>93.429000000000002</v>
          </cell>
          <cell r="E83">
            <v>87.628</v>
          </cell>
          <cell r="F83">
            <v>102.357</v>
          </cell>
          <cell r="G83">
            <v>117.69499999999999</v>
          </cell>
          <cell r="H83">
            <v>120.866</v>
          </cell>
          <cell r="I83">
            <v>118.002</v>
          </cell>
          <cell r="J83">
            <v>228.29999999999998</v>
          </cell>
          <cell r="K83">
            <v>271.39999999999998</v>
          </cell>
          <cell r="L83">
            <v>286.2</v>
          </cell>
          <cell r="M83">
            <v>310.7</v>
          </cell>
          <cell r="N83">
            <v>290.42600000000004</v>
          </cell>
          <cell r="O83">
            <v>368.2731</v>
          </cell>
          <cell r="P83">
            <v>395.694796</v>
          </cell>
          <cell r="Q83">
            <v>384.09821800000003</v>
          </cell>
          <cell r="R83">
            <v>418.17336</v>
          </cell>
          <cell r="S83">
            <v>414.38148999999999</v>
          </cell>
          <cell r="T83">
            <v>420.99837099999996</v>
          </cell>
          <cell r="U83">
            <v>439.85755699999999</v>
          </cell>
          <cell r="V83">
            <v>499.82373999999999</v>
          </cell>
          <cell r="W83">
            <v>546.08393000000001</v>
          </cell>
        </row>
        <row r="84">
          <cell r="C84">
            <v>178.98599999999999</v>
          </cell>
          <cell r="D84">
            <v>146.76499999999999</v>
          </cell>
          <cell r="E84">
            <v>117.366</v>
          </cell>
          <cell r="F84">
            <v>141.619</v>
          </cell>
          <cell r="G84">
            <v>170.03399999999999</v>
          </cell>
          <cell r="H84">
            <v>176.584</v>
          </cell>
          <cell r="I84">
            <v>165.17400000000001</v>
          </cell>
          <cell r="J84">
            <v>280.3</v>
          </cell>
          <cell r="K84">
            <v>365.5</v>
          </cell>
          <cell r="L84">
            <v>380.29999999999995</v>
          </cell>
          <cell r="M84">
            <v>416</v>
          </cell>
          <cell r="N84">
            <v>450.67609900000002</v>
          </cell>
          <cell r="O84">
            <v>523.56937599999992</v>
          </cell>
          <cell r="P84">
            <v>523.43967999999995</v>
          </cell>
          <cell r="Q84">
            <v>548.453935</v>
          </cell>
          <cell r="R84">
            <v>618.70003199999996</v>
          </cell>
          <cell r="S84">
            <v>623.20035000000007</v>
          </cell>
          <cell r="T84">
            <v>622.54984999999999</v>
          </cell>
          <cell r="U84">
            <v>646.00216</v>
          </cell>
          <cell r="V84">
            <v>685.09982760000003</v>
          </cell>
          <cell r="W84">
            <v>730.40000307299999</v>
          </cell>
        </row>
        <row r="86">
          <cell r="C86">
            <v>470</v>
          </cell>
          <cell r="D86">
            <v>482.43399999999997</v>
          </cell>
          <cell r="E86">
            <v>479.20000000000005</v>
          </cell>
          <cell r="F86">
            <v>502.33440000000002</v>
          </cell>
          <cell r="G86">
            <v>529.74890000000005</v>
          </cell>
          <cell r="H86">
            <v>569.51549999999997</v>
          </cell>
          <cell r="I86">
            <v>596.41200000000003</v>
          </cell>
          <cell r="J86">
            <v>887.4</v>
          </cell>
          <cell r="K86">
            <v>1082.95</v>
          </cell>
          <cell r="L86">
            <v>1207.8300000000002</v>
          </cell>
          <cell r="M86">
            <v>1323.9</v>
          </cell>
          <cell r="N86">
            <v>1448.3999999999999</v>
          </cell>
          <cell r="O86">
            <v>1532.3999999999999</v>
          </cell>
          <cell r="P86">
            <v>1679.6100000000004</v>
          </cell>
          <cell r="Q86">
            <v>1832.14</v>
          </cell>
          <cell r="R86">
            <v>1956.81</v>
          </cell>
          <cell r="S86">
            <v>2067.4</v>
          </cell>
          <cell r="T86">
            <v>2138.6099999999997</v>
          </cell>
          <cell r="U86">
            <v>2278.98</v>
          </cell>
          <cell r="V86">
            <v>2461.5800000000004</v>
          </cell>
          <cell r="W86">
            <v>2671.5</v>
          </cell>
        </row>
        <row r="91">
          <cell r="F91">
            <v>-9.4797409852878847</v>
          </cell>
          <cell r="G91">
            <v>-7.1354560622966829</v>
          </cell>
          <cell r="H91">
            <v>1.2466737077392904</v>
          </cell>
          <cell r="I91">
            <v>2.1461674144718739</v>
          </cell>
          <cell r="J91">
            <v>2.2425061978814536</v>
          </cell>
          <cell r="K91">
            <v>-0.72025485941179324</v>
          </cell>
          <cell r="L91">
            <v>1.3329690436568062</v>
          </cell>
          <cell r="M91">
            <v>1.4578140342926202</v>
          </cell>
          <cell r="N91">
            <v>3.4417288041977354</v>
          </cell>
          <cell r="O91">
            <v>2.7199164708953267</v>
          </cell>
          <cell r="P91">
            <v>1.6438339852703914</v>
          </cell>
          <cell r="Q91">
            <v>0.12662787778226567</v>
          </cell>
          <cell r="R91">
            <v>5.9280154946060183E-2</v>
          </cell>
          <cell r="S91">
            <v>-0.97223565831479197</v>
          </cell>
          <cell r="T91">
            <v>0.56719083890938371</v>
          </cell>
          <cell r="U91">
            <v>0.31896725728176634</v>
          </cell>
          <cell r="V91">
            <v>0.66976234776038091</v>
          </cell>
          <cell r="W91">
            <v>1.1579140887142068</v>
          </cell>
        </row>
        <row r="93">
          <cell r="G93">
            <v>3.1844370860927285</v>
          </cell>
          <cell r="H93">
            <v>6.6908017984263823</v>
          </cell>
          <cell r="I93">
            <v>7.8307720122943403</v>
          </cell>
          <cell r="J93">
            <v>48.008539595703525</v>
          </cell>
          <cell r="K93">
            <v>70.293900272042521</v>
          </cell>
          <cell r="L93">
            <v>82.077604920405236</v>
          </cell>
          <cell r="M93">
            <v>88.732233737722254</v>
          </cell>
          <cell r="N93">
            <v>98.615015426808355</v>
          </cell>
          <cell r="O93">
            <v>99.481899009359637</v>
          </cell>
          <cell r="P93">
            <v>108.4943954120583</v>
          </cell>
          <cell r="Q93">
            <v>114.05755278008201</v>
          </cell>
          <cell r="R93">
            <v>118.96582592932434</v>
          </cell>
          <cell r="S93">
            <v>122.67459394252724</v>
          </cell>
          <cell r="T93">
            <v>123.58236105883825</v>
          </cell>
          <cell r="U93">
            <v>127.71514473877481</v>
          </cell>
          <cell r="V93">
            <v>132.57558578987155</v>
          </cell>
          <cell r="W93">
            <v>137.50889046941683</v>
          </cell>
        </row>
        <row r="95">
          <cell r="F95">
            <v>48.276606181061851</v>
          </cell>
          <cell r="G95">
            <v>53.221441328146213</v>
          </cell>
          <cell r="H95">
            <v>49.406908152631487</v>
          </cell>
          <cell r="I95">
            <v>53.880538956291957</v>
          </cell>
          <cell r="J95">
            <v>70.816993464052274</v>
          </cell>
          <cell r="K95">
            <v>64.921741539313913</v>
          </cell>
          <cell r="L95">
            <v>62.687629881688636</v>
          </cell>
          <cell r="M95">
            <v>56.522395951355833</v>
          </cell>
          <cell r="N95">
            <v>53.265672466169569</v>
          </cell>
          <cell r="O95">
            <v>55.311929000261038</v>
          </cell>
          <cell r="P95">
            <v>54.54915432749268</v>
          </cell>
          <cell r="Q95">
            <v>51.761645562020362</v>
          </cell>
          <cell r="R95">
            <v>48.121211205993433</v>
          </cell>
          <cell r="S95">
            <v>40.272927445100123</v>
          </cell>
          <cell r="T95">
            <v>38.635169526000531</v>
          </cell>
          <cell r="U95">
            <v>36.381591764736854</v>
          </cell>
          <cell r="V95">
            <v>36.381591764736854</v>
          </cell>
          <cell r="W95">
            <v>36.381591764736854</v>
          </cell>
        </row>
        <row r="99">
          <cell r="F99">
            <v>2.8599999999999994</v>
          </cell>
          <cell r="G99">
            <v>1.9700000000000006</v>
          </cell>
          <cell r="H99">
            <v>6.34</v>
          </cell>
          <cell r="I99">
            <v>9.1999999999999993</v>
          </cell>
          <cell r="J99">
            <v>2.5</v>
          </cell>
          <cell r="K99">
            <v>0</v>
          </cell>
          <cell r="L99">
            <v>0</v>
          </cell>
          <cell r="M99">
            <v>1.0200000000000031</v>
          </cell>
          <cell r="N99">
            <v>2.0000000000024443E-3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3">
          <cell r="F103">
            <v>91.666666666666657</v>
          </cell>
          <cell r="G103">
            <v>79.02542372881355</v>
          </cell>
          <cell r="H103">
            <v>68.411867364746954</v>
          </cell>
          <cell r="I103">
            <v>57.294832826747729</v>
          </cell>
          <cell r="J103">
            <v>50.219780219780212</v>
          </cell>
          <cell r="K103">
            <v>43.821138211382113</v>
          </cell>
          <cell r="L103">
            <v>40.813464235624124</v>
          </cell>
          <cell r="M103">
            <v>39.042821158690174</v>
          </cell>
          <cell r="N103">
            <v>35.361445783132524</v>
          </cell>
          <cell r="O103">
            <v>33.249749247743232</v>
          </cell>
          <cell r="P103">
            <v>31.040963649566443</v>
          </cell>
          <cell r="Q103">
            <v>31.990617164118738</v>
          </cell>
          <cell r="R103">
            <v>31.876106194690266</v>
          </cell>
          <cell r="S103">
            <v>33.528645833333336</v>
          </cell>
          <cell r="T103">
            <v>37.996146435452793</v>
          </cell>
          <cell r="U103">
            <v>34.896755162241888</v>
          </cell>
          <cell r="V103">
            <v>32.961487383798143</v>
          </cell>
          <cell r="W103">
            <v>31.749545029757513</v>
          </cell>
        </row>
        <row r="105">
          <cell r="F105">
            <v>2.2727272727272725</v>
          </cell>
          <cell r="G105">
            <v>3.3898305084745761</v>
          </cell>
          <cell r="H105">
            <v>2.6178010471204192</v>
          </cell>
          <cell r="I105">
            <v>4.5592705167173255</v>
          </cell>
          <cell r="J105">
            <v>3.8461538461538454</v>
          </cell>
          <cell r="K105">
            <v>10.731707317073171</v>
          </cell>
          <cell r="L105">
            <v>5.1192145862552598</v>
          </cell>
          <cell r="M105">
            <v>7.4937027707808559</v>
          </cell>
          <cell r="N105">
            <v>8.19277108433735</v>
          </cell>
          <cell r="O105">
            <v>10.982948846539619</v>
          </cell>
          <cell r="P105">
            <v>12.378796292341207</v>
          </cell>
          <cell r="Q105">
            <v>18.891045862654696</v>
          </cell>
          <cell r="R105">
            <v>19.292035398230087</v>
          </cell>
          <cell r="S105">
            <v>23.242187500000004</v>
          </cell>
          <cell r="T105">
            <v>18.542068079640334</v>
          </cell>
          <cell r="U105">
            <v>20.678466076696161</v>
          </cell>
          <cell r="V105">
            <v>20.982735723771579</v>
          </cell>
          <cell r="W105">
            <v>20.387585460626628</v>
          </cell>
        </row>
        <row r="109">
          <cell r="F109">
            <v>2.2096237088282225</v>
          </cell>
          <cell r="G109">
            <v>-5.9963503463622114</v>
          </cell>
          <cell r="H109">
            <v>-8.1050120672747283</v>
          </cell>
          <cell r="I109">
            <v>-2.1598324648062066</v>
          </cell>
          <cell r="J109">
            <v>-2.4791525805724621</v>
          </cell>
          <cell r="K109">
            <v>-7.59037813380119</v>
          </cell>
          <cell r="L109">
            <v>-6.8966659215286903</v>
          </cell>
          <cell r="M109">
            <v>-6.0956265578971225</v>
          </cell>
          <cell r="N109">
            <v>-8.6958090996962198</v>
          </cell>
          <cell r="O109">
            <v>-7.6348392064735062</v>
          </cell>
          <cell r="P109">
            <v>-4.5811160924262166</v>
          </cell>
          <cell r="Q109">
            <v>-6.3289768794961052</v>
          </cell>
          <cell r="R109">
            <v>-8.3476000224855742</v>
          </cell>
          <cell r="S109">
            <v>-9.7329428267388991</v>
          </cell>
          <cell r="T109">
            <v>-7.2622815286564668</v>
          </cell>
          <cell r="U109">
            <v>-6.9634048126793608</v>
          </cell>
          <cell r="V109">
            <v>-5.6072151869937228</v>
          </cell>
          <cell r="W109">
            <v>-5.1269351702414365</v>
          </cell>
        </row>
        <row r="112">
          <cell r="F112">
            <v>7.8831949394666188</v>
          </cell>
          <cell r="G112">
            <v>8.9098816439260187</v>
          </cell>
          <cell r="H112">
            <v>10.061183584994614</v>
          </cell>
          <cell r="I112">
            <v>11.032641865019482</v>
          </cell>
          <cell r="J112">
            <v>10.254676583276991</v>
          </cell>
          <cell r="K112">
            <v>11.35786509072441</v>
          </cell>
          <cell r="L112">
            <v>11.806297243817422</v>
          </cell>
          <cell r="M112">
            <v>11.994863660397311</v>
          </cell>
          <cell r="N112">
            <v>12.607014636840653</v>
          </cell>
          <cell r="O112">
            <v>13.012268337248759</v>
          </cell>
          <cell r="P112">
            <v>13.938354737111588</v>
          </cell>
          <cell r="Q112">
            <v>13.495693560535765</v>
          </cell>
          <cell r="R112">
            <v>14.436761872639654</v>
          </cell>
          <cell r="S112">
            <v>14.859243494243977</v>
          </cell>
          <cell r="T112">
            <v>14.560859623774322</v>
          </cell>
          <cell r="U112">
            <v>14.875075691756839</v>
          </cell>
          <cell r="V112">
            <v>15.295054395957067</v>
          </cell>
          <cell r="W112">
            <v>15.220662549129701</v>
          </cell>
        </row>
        <row r="114">
          <cell r="E114">
            <v>-2.8703507630059115</v>
          </cell>
          <cell r="F114">
            <v>1.6277128547579149</v>
          </cell>
          <cell r="G114">
            <v>0.75742039565675334</v>
          </cell>
          <cell r="H114">
            <v>3.5066885462149902</v>
          </cell>
          <cell r="I114">
            <v>1.2226985042549519</v>
          </cell>
          <cell r="J114">
            <v>44.389762781432971</v>
          </cell>
          <cell r="K114">
            <v>17.436285778679284</v>
          </cell>
          <cell r="L114">
            <v>6.0314649799159739</v>
          </cell>
          <cell r="M114">
            <v>3.9097960805742398</v>
          </cell>
          <cell r="N114">
            <v>4.9040335372762129</v>
          </cell>
          <cell r="O114">
            <v>0.79950289975144084</v>
          </cell>
          <cell r="P114">
            <v>4.7379124099778291</v>
          </cell>
          <cell r="Q114">
            <v>2.8349212155590839</v>
          </cell>
          <cell r="R114">
            <v>2.3941005504775292</v>
          </cell>
          <cell r="S114">
            <v>1.7596846777040653</v>
          </cell>
          <cell r="T114">
            <v>0.9</v>
          </cell>
          <cell r="U114">
            <v>1.9340142921016712</v>
          </cell>
          <cell r="V114">
            <v>2.2572777332319003</v>
          </cell>
          <cell r="W114">
            <v>2.2542355330936079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teurs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To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UEMOA"/>
      <sheetName val="PIBBASE"/>
      <sheetName val="CCFADM"/>
      <sheetName val="BCEAO1"/>
      <sheetName val="TES95"/>
      <sheetName val="CNAT"/>
      <sheetName val="CNPE"/>
      <sheetName val="BCEAO2"/>
      <sheetName val="FMI"/>
      <sheetName val="CONJ"/>
      <sheetName val="IPI"/>
      <sheetName val="PIBEN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EN"/>
    </sheet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Saisie"/>
      <sheetName val="Présentation"/>
      <sheetName val="Extrait"/>
      <sheetName val="Synthèses annuelles"/>
    </sheetNames>
    <sheetDataSet>
      <sheetData sheetId="0"/>
      <sheetData sheetId="1"/>
      <sheetData sheetId="2"/>
      <sheetData sheetId="3">
        <row r="2">
          <cell r="C2" t="str">
            <v>1990</v>
          </cell>
        </row>
      </sheetData>
      <sheetData sheetId="4">
        <row r="2">
          <cell r="C2" t="str">
            <v>1990</v>
          </cell>
          <cell r="D2" t="str">
            <v>1991</v>
          </cell>
          <cell r="E2" t="str">
            <v>1992</v>
          </cell>
          <cell r="F2" t="str">
            <v>1993</v>
          </cell>
          <cell r="G2" t="str">
            <v>1994</v>
          </cell>
          <cell r="H2" t="str">
            <v>1995</v>
          </cell>
          <cell r="I2" t="str">
            <v>1996</v>
          </cell>
          <cell r="J2" t="str">
            <v>1997</v>
          </cell>
          <cell r="K2" t="str">
            <v>1998</v>
          </cell>
          <cell r="L2" t="str">
            <v>1999</v>
          </cell>
          <cell r="M2" t="str">
            <v>2000</v>
          </cell>
          <cell r="N2" t="str">
            <v>2001</v>
          </cell>
          <cell r="O2" t="str">
            <v>2002</v>
          </cell>
          <cell r="P2" t="str">
            <v>2003</v>
          </cell>
          <cell r="Q2" t="str">
            <v>2004</v>
          </cell>
          <cell r="R2" t="str">
            <v>2005</v>
          </cell>
          <cell r="S2" t="str">
            <v>2006</v>
          </cell>
          <cell r="T2" t="str">
            <v>2007</v>
          </cell>
          <cell r="U2" t="str">
            <v>2008</v>
          </cell>
          <cell r="V2" t="str">
            <v>2009</v>
          </cell>
          <cell r="W2" t="str">
            <v>2010</v>
          </cell>
        </row>
        <row r="5"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102.42</v>
          </cell>
          <cell r="K5">
            <v>110.7675</v>
          </cell>
          <cell r="L5">
            <v>110.20833333333331</v>
          </cell>
          <cell r="M5">
            <v>111.675</v>
          </cell>
          <cell r="N5">
            <v>116.49999999999999</v>
          </cell>
          <cell r="O5">
            <v>120.57466666666664</v>
          </cell>
          <cell r="P5">
            <v>117.79166666666667</v>
          </cell>
          <cell r="Q5">
            <v>119.20833333333333</v>
          </cell>
          <cell r="R5">
            <v>125.96666666666665</v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</row>
        <row r="6"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101.16</v>
          </cell>
          <cell r="K6">
            <v>103.71666666666665</v>
          </cell>
          <cell r="L6">
            <v>105.18333333333335</v>
          </cell>
          <cell r="M6">
            <v>109.03333333333335</v>
          </cell>
          <cell r="N6">
            <v>108.67500000000003</v>
          </cell>
          <cell r="O6">
            <v>110.55250000000001</v>
          </cell>
          <cell r="P6">
            <v>111.07499999999997</v>
          </cell>
          <cell r="Q6">
            <v>110.25833333333333</v>
          </cell>
          <cell r="R6">
            <v>110.46666666666665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</row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109.22</v>
          </cell>
          <cell r="K7">
            <v>113.68333333333334</v>
          </cell>
          <cell r="L7">
            <v>112.70833333333333</v>
          </cell>
          <cell r="M7">
            <v>120.79166666666667</v>
          </cell>
          <cell r="N7">
            <v>125.41666666666669</v>
          </cell>
          <cell r="O7">
            <v>129.74875</v>
          </cell>
          <cell r="P7">
            <v>136.41666666666666</v>
          </cell>
          <cell r="Q7">
            <v>138.33333333333334</v>
          </cell>
          <cell r="R7">
            <v>146.08333333333334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</row>
        <row r="8"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105.3</v>
          </cell>
          <cell r="K8">
            <v>109.97500000000001</v>
          </cell>
          <cell r="L8">
            <v>110.11666666666666</v>
          </cell>
          <cell r="M8">
            <v>113.24166666666667</v>
          </cell>
          <cell r="N8">
            <v>113.98333333333333</v>
          </cell>
          <cell r="O8">
            <v>116.03683333333333</v>
          </cell>
          <cell r="P8">
            <v>118.94999999999997</v>
          </cell>
          <cell r="Q8">
            <v>115.71666666666668</v>
          </cell>
          <cell r="R8">
            <v>121.35000000000001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104.51999999999998</v>
          </cell>
          <cell r="K9">
            <v>104.15833333333335</v>
          </cell>
          <cell r="L9">
            <v>110.7833333333333</v>
          </cell>
          <cell r="M9">
            <v>113.16666666666669</v>
          </cell>
          <cell r="N9">
            <v>116.575</v>
          </cell>
          <cell r="O9">
            <v>119.47483333333331</v>
          </cell>
          <cell r="P9">
            <v>120.66666666666667</v>
          </cell>
          <cell r="Q9">
            <v>121.36666666666667</v>
          </cell>
          <cell r="R9">
            <v>122.68333333333332</v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105.73999999999998</v>
          </cell>
          <cell r="K10">
            <v>112.63333333333333</v>
          </cell>
          <cell r="L10">
            <v>110.54166666666667</v>
          </cell>
          <cell r="M10">
            <v>135.42499999999998</v>
          </cell>
          <cell r="N10">
            <v>155.56666666666666</v>
          </cell>
          <cell r="O10">
            <v>150.47283333333331</v>
          </cell>
          <cell r="P10">
            <v>165.20000000000002</v>
          </cell>
          <cell r="Q10">
            <v>168.30833333333334</v>
          </cell>
          <cell r="R10">
            <v>172.33333333333334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107.72</v>
          </cell>
          <cell r="K11">
            <v>106.92499999999997</v>
          </cell>
          <cell r="L11">
            <v>106.26666666666667</v>
          </cell>
          <cell r="M11">
            <v>109.09166666666668</v>
          </cell>
          <cell r="N11">
            <v>109.99166666666666</v>
          </cell>
          <cell r="O11">
            <v>109.53383333333331</v>
          </cell>
          <cell r="P11">
            <v>109.83333333333331</v>
          </cell>
          <cell r="Q11">
            <v>110.93333333333334</v>
          </cell>
          <cell r="R11">
            <v>109.78333333333335</v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96.820000000000007</v>
          </cell>
          <cell r="K12">
            <v>95.116666666666674</v>
          </cell>
          <cell r="L12">
            <v>103.29999999999997</v>
          </cell>
          <cell r="M12">
            <v>104.09999999999998</v>
          </cell>
          <cell r="N12">
            <v>105.52500000000002</v>
          </cell>
          <cell r="O12">
            <v>117.56275000000004</v>
          </cell>
          <cell r="P12">
            <v>119.60833333333335</v>
          </cell>
          <cell r="Q12">
            <v>121.84999999999998</v>
          </cell>
          <cell r="R12">
            <v>127.39999999999999</v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108.2</v>
          </cell>
          <cell r="K13">
            <v>115.38333333333337</v>
          </cell>
          <cell r="L13">
            <v>116.825</v>
          </cell>
          <cell r="M13">
            <v>118.83333333333331</v>
          </cell>
          <cell r="N13">
            <v>119.75000000000004</v>
          </cell>
          <cell r="O13">
            <v>120.48691666666663</v>
          </cell>
          <cell r="P13">
            <v>126.57499999999997</v>
          </cell>
          <cell r="Q13">
            <v>138.68333333333337</v>
          </cell>
          <cell r="R13">
            <v>136.1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100.78</v>
          </cell>
          <cell r="K14">
            <v>102.7166666666667</v>
          </cell>
          <cell r="L14">
            <v>104.125</v>
          </cell>
          <cell r="M14">
            <v>103.86666666666666</v>
          </cell>
          <cell r="N14">
            <v>112.48083333333335</v>
          </cell>
          <cell r="O14">
            <v>110.69008333333333</v>
          </cell>
          <cell r="P14">
            <v>109.25</v>
          </cell>
          <cell r="Q14">
            <v>108.5</v>
          </cell>
          <cell r="R14">
            <v>110.98333333333335</v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104.04</v>
          </cell>
          <cell r="K16">
            <v>109.34166666666668</v>
          </cell>
          <cell r="L16">
            <v>110.03333333333335</v>
          </cell>
          <cell r="M16">
            <v>114.66666666666667</v>
          </cell>
          <cell r="N16">
            <v>119.24166666666666</v>
          </cell>
          <cell r="O16">
            <v>122.16666666666667</v>
          </cell>
          <cell r="P16">
            <v>123.95000000000003</v>
          </cell>
          <cell r="Q16">
            <v>125.05</v>
          </cell>
          <cell r="R16">
            <v>130.15</v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èses annuelles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RED Tb33"/>
    </sheetNames>
    <sheetDataSet>
      <sheetData sheetId="0" refreshError="1"/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</row>
        <row r="5">
          <cell r="A5" t="str">
            <v>03101</v>
          </cell>
          <cell r="B5" t="str">
            <v xml:space="preserve">   Gabinete do Primeiro Ministro</v>
          </cell>
        </row>
        <row r="6">
          <cell r="A6" t="str">
            <v>03151</v>
          </cell>
          <cell r="B6" t="str">
            <v xml:space="preserve">   Conselho Superior da Comunicação Social</v>
          </cell>
        </row>
        <row r="7">
          <cell r="A7" t="str">
            <v>03160</v>
          </cell>
          <cell r="B7" t="str">
            <v xml:space="preserve">   Gabinete de Informação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</row>
        <row r="11">
          <cell r="A11" t="str">
            <v>05101</v>
          </cell>
          <cell r="B11" t="str">
            <v xml:space="preserve">   Assembleia da República</v>
          </cell>
        </row>
        <row r="12">
          <cell r="A12" t="str">
            <v>05151</v>
          </cell>
          <cell r="B12" t="str">
            <v xml:space="preserve">   Assembleia Provincial</v>
          </cell>
        </row>
        <row r="13">
          <cell r="A13" t="str">
            <v>07101</v>
          </cell>
          <cell r="B13" t="str">
            <v xml:space="preserve">   Tribunal Supremo</v>
          </cell>
        </row>
        <row r="14">
          <cell r="A14" t="str">
            <v>07121</v>
          </cell>
          <cell r="B14" t="str">
            <v xml:space="preserve">   Tribunal Judicial de Menores</v>
          </cell>
        </row>
        <row r="15">
          <cell r="A15" t="str">
            <v>07151</v>
          </cell>
          <cell r="B15" t="str">
            <v xml:space="preserve">   Tribunal Provincial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</row>
        <row r="17">
          <cell r="A17" t="str">
            <v>11101</v>
          </cell>
          <cell r="B17" t="str">
            <v xml:space="preserve">   Tribunal Administrativo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Org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"/>
    </sheet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otheses"/>
      <sheetName val="BE"/>
      <sheetName val="Moteur central"/>
      <sheetName val="Sortie TaBEN"/>
      <sheetName val="PIB courant"/>
      <sheetName val="PIB constant"/>
      <sheetName val="Equil emp-res"/>
      <sheetName val="Epar-Inv"/>
      <sheetName val="TOFE Rec-dép"/>
      <sheetName val="TOFE Fin"/>
      <sheetName val="bal des paie"/>
      <sheetName val="monnaie"/>
    </sheetNames>
    <sheetDataSet>
      <sheetData sheetId="0"/>
      <sheetData sheetId="1" refreshError="1"/>
      <sheetData sheetId="2"/>
      <sheetData sheetId="3" refreshError="1">
        <row r="3">
          <cell r="B3" t="str">
            <v xml:space="preserve">S Y N T H E S E  D U  B U D G E T  E C O N O M I Q U E  </v>
          </cell>
          <cell r="N3" t="str">
            <v>document provisoire</v>
          </cell>
        </row>
        <row r="5">
          <cell r="B5" t="str">
            <v>30/06/2002</v>
          </cell>
          <cell r="G5" t="str">
            <v>1999</v>
          </cell>
          <cell r="H5" t="str">
            <v>2000</v>
          </cell>
          <cell r="I5" t="str">
            <v>2001</v>
          </cell>
          <cell r="J5" t="str">
            <v>2002</v>
          </cell>
        </row>
        <row r="6">
          <cell r="G6">
            <v>36341.25</v>
          </cell>
          <cell r="H6">
            <v>36706.5</v>
          </cell>
          <cell r="I6">
            <v>37071.75</v>
          </cell>
          <cell r="J6">
            <v>37437</v>
          </cell>
        </row>
        <row r="7">
          <cell r="G7" t="str">
            <v>est.</v>
          </cell>
          <cell r="H7" t="str">
            <v>proj.</v>
          </cell>
          <cell r="I7" t="str">
            <v>proj.</v>
          </cell>
          <cell r="J7" t="str">
            <v>proj.</v>
          </cell>
        </row>
        <row r="9">
          <cell r="B9" t="str">
            <v>Taux de change du US$ en FCFA</v>
          </cell>
        </row>
        <row r="11">
          <cell r="B11" t="str">
            <v>Moyenne annuelle</v>
          </cell>
          <cell r="G11">
            <v>615</v>
          </cell>
          <cell r="H11">
            <v>625</v>
          </cell>
          <cell r="I11">
            <v>600</v>
          </cell>
          <cell r="J11">
            <v>590</v>
          </cell>
        </row>
        <row r="13">
          <cell r="B13" t="str">
            <v>Opérations consolidées de l'Etat (en mds de FCFA)</v>
          </cell>
        </row>
        <row r="15">
          <cell r="B15" t="str">
            <v>Recettes et dons</v>
          </cell>
          <cell r="G15">
            <v>256.80500000000001</v>
          </cell>
          <cell r="H15">
            <v>290.94409643166819</v>
          </cell>
          <cell r="I15">
            <v>320.35538613700601</v>
          </cell>
          <cell r="J15">
            <v>362.91501057075936</v>
          </cell>
        </row>
        <row r="16">
          <cell r="B16" t="str">
            <v>Recettes hors dons</v>
          </cell>
          <cell r="G16">
            <v>236.09500000000003</v>
          </cell>
          <cell r="H16">
            <v>268.16309643166818</v>
          </cell>
          <cell r="I16">
            <v>295.29628613700601</v>
          </cell>
          <cell r="J16">
            <v>335.35000057075933</v>
          </cell>
        </row>
        <row r="18">
          <cell r="B18" t="str">
            <v>Dépenses et prêts nets</v>
          </cell>
          <cell r="G18">
            <v>224.86</v>
          </cell>
          <cell r="H18">
            <v>270.20409556662588</v>
          </cell>
          <cell r="I18">
            <v>305.53993135902692</v>
          </cell>
          <cell r="J18">
            <v>366.79537972918189</v>
          </cell>
        </row>
        <row r="19">
          <cell r="B19" t="str">
            <v>Dépenses courantes</v>
          </cell>
          <cell r="G19">
            <v>159.69</v>
          </cell>
          <cell r="H19">
            <v>188.48509556662592</v>
          </cell>
          <cell r="I19">
            <v>198.89883135902693</v>
          </cell>
          <cell r="J19">
            <v>230.18576972918183</v>
          </cell>
        </row>
        <row r="21">
          <cell r="B21" t="str">
            <v>Encours de la dette publique</v>
          </cell>
          <cell r="G21">
            <v>860.68567796610171</v>
          </cell>
          <cell r="H21">
            <v>912.39020537048543</v>
          </cell>
          <cell r="I21">
            <v>912.14701600662113</v>
          </cell>
          <cell r="J21">
            <v>941.96621230005178</v>
          </cell>
        </row>
        <row r="22">
          <cell r="B22" t="str">
            <v>Dette publique intérieure directe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Dette publique extérieure</v>
          </cell>
          <cell r="G23">
            <v>860.68567796610171</v>
          </cell>
          <cell r="H23">
            <v>912.39020537048543</v>
          </cell>
          <cell r="I23">
            <v>912.14701600662113</v>
          </cell>
          <cell r="J23">
            <v>941.96621230005178</v>
          </cell>
        </row>
        <row r="25">
          <cell r="B25" t="str">
            <v>Encours arriérés extérieurs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Encours arriérés intérieurs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B28" t="str">
            <v>Monnaie et Crédit (en mds de FCFA)</v>
          </cell>
        </row>
        <row r="30">
          <cell r="B30" t="str">
            <v>Avoirs extérieurs nets</v>
          </cell>
          <cell r="G30">
            <v>226.3</v>
          </cell>
          <cell r="H30">
            <v>214.17393817033167</v>
          </cell>
          <cell r="I30">
            <v>179.66192272984105</v>
          </cell>
          <cell r="J30">
            <v>111.05504131820724</v>
          </cell>
        </row>
        <row r="32">
          <cell r="B32" t="str">
            <v xml:space="preserve">Avoirs intérieurs nets </v>
          </cell>
          <cell r="G32">
            <v>97.628</v>
          </cell>
          <cell r="H32">
            <v>105.23320000000001</v>
          </cell>
          <cell r="I32">
            <v>106.06862640000001</v>
          </cell>
          <cell r="J32">
            <v>107.69415776480004</v>
          </cell>
        </row>
        <row r="33">
          <cell r="B33" t="str">
            <v>dont: Position Nette du Gouvernement</v>
          </cell>
          <cell r="G33">
            <v>-10.972</v>
          </cell>
          <cell r="H33">
            <v>-12.271999999999998</v>
          </cell>
          <cell r="I33">
            <v>-21.071999999999999</v>
          </cell>
          <cell r="J33">
            <v>-29.872</v>
          </cell>
        </row>
        <row r="34">
          <cell r="B34" t="str">
            <v>dont: Crédit à l'Economie</v>
          </cell>
          <cell r="G34">
            <v>108.6</v>
          </cell>
          <cell r="H34">
            <v>117.5052</v>
          </cell>
          <cell r="I34">
            <v>127.14062640000002</v>
          </cell>
          <cell r="J34">
            <v>137.56615776480004</v>
          </cell>
        </row>
        <row r="36">
          <cell r="B36" t="str">
            <v>Monnaie et quasi-monnaie (M2)</v>
          </cell>
          <cell r="G36">
            <v>303.99509999999998</v>
          </cell>
          <cell r="H36">
            <v>299.47423817033166</v>
          </cell>
          <cell r="I36">
            <v>265.79764912984103</v>
          </cell>
          <cell r="J36">
            <v>198.81629908300727</v>
          </cell>
        </row>
        <row r="38">
          <cell r="B38" t="str">
            <v>Secteur extérieur (en mds de FCFA)</v>
          </cell>
        </row>
        <row r="40">
          <cell r="B40" t="str">
            <v>Exportations FOB</v>
          </cell>
          <cell r="G40">
            <v>236.7</v>
          </cell>
          <cell r="H40">
            <v>276.98507879818351</v>
          </cell>
          <cell r="I40">
            <v>289.45002861812219</v>
          </cell>
          <cell r="J40">
            <v>302.64306510479963</v>
          </cell>
        </row>
        <row r="41">
          <cell r="B41" t="str">
            <v>Importations FOB</v>
          </cell>
          <cell r="G41">
            <v>339.87554203876482</v>
          </cell>
          <cell r="H41">
            <v>367.17706563590684</v>
          </cell>
          <cell r="I41">
            <v>396.98788648191771</v>
          </cell>
          <cell r="J41">
            <v>437.3592026987493</v>
          </cell>
        </row>
        <row r="46">
          <cell r="B46" t="str">
            <v>I N D I C A T E U R S  (Variations annuelles sauf indications contraires)</v>
          </cell>
        </row>
        <row r="49">
          <cell r="G49">
            <v>36341.25</v>
          </cell>
          <cell r="H49">
            <v>36706.5</v>
          </cell>
          <cell r="I49">
            <v>37071.75</v>
          </cell>
          <cell r="J49">
            <v>37437</v>
          </cell>
        </row>
        <row r="50">
          <cell r="G50" t="str">
            <v>est.</v>
          </cell>
          <cell r="H50" t="str">
            <v>proj.</v>
          </cell>
          <cell r="I50" t="str">
            <v>proj.</v>
          </cell>
          <cell r="J50" t="str">
            <v>proj.</v>
          </cell>
        </row>
        <row r="52">
          <cell r="B52" t="str">
            <v>Habitants</v>
          </cell>
          <cell r="G52">
            <v>3.2000000000000001E-2</v>
          </cell>
          <cell r="H52">
            <v>3.4000000000000002E-2</v>
          </cell>
          <cell r="I52">
            <v>3.4000000000000002E-2</v>
          </cell>
          <cell r="J52">
            <v>3.4000000000000002E-2</v>
          </cell>
        </row>
        <row r="54">
          <cell r="B54" t="str">
            <v>Produit intérieur brut et F.B.C.F.</v>
          </cell>
        </row>
        <row r="56">
          <cell r="B56" t="str">
            <v>PIB au prix du marché courant</v>
          </cell>
          <cell r="G56">
            <v>8.3998770291169755E-2</v>
          </cell>
          <cell r="H56">
            <v>7.203279395929596E-2</v>
          </cell>
          <cell r="I56">
            <v>7.765244670700211E-2</v>
          </cell>
          <cell r="J56">
            <v>8.3441299180999406E-2</v>
          </cell>
        </row>
        <row r="57">
          <cell r="B57" t="str">
            <v>PIB au prix du marché constant (au prix de 1997)</v>
          </cell>
          <cell r="G57">
            <v>6.4627993657396798E-2</v>
          </cell>
          <cell r="H57">
            <v>5.4524556886806463E-2</v>
          </cell>
          <cell r="I57">
            <v>6.2601491913838903E-2</v>
          </cell>
          <cell r="J57">
            <v>7.0947565115819566E-2</v>
          </cell>
        </row>
        <row r="59">
          <cell r="B59" t="str">
            <v>Déflateur du PIB</v>
          </cell>
          <cell r="G59">
            <v>1.8194878163241723E-2</v>
          </cell>
          <cell r="H59">
            <v>1.6602967620003017E-2</v>
          </cell>
          <cell r="I59">
            <v>1.4164251516394E-2</v>
          </cell>
          <cell r="J59">
            <v>1.166605581089164E-2</v>
          </cell>
        </row>
        <row r="61">
          <cell r="B61" t="str">
            <v>PIB à prix constants par habitant (FCFA/ha)</v>
          </cell>
          <cell r="G61">
            <v>239186.3521636792</v>
          </cell>
          <cell r="H61">
            <v>247984.15221176119</v>
          </cell>
          <cell r="I61">
            <v>258453.31564368095</v>
          </cell>
          <cell r="J61">
            <v>270811.40819983225</v>
          </cell>
        </row>
        <row r="62">
          <cell r="B62" t="str">
            <v>PIB à prix constants par habitant (USD/ha)</v>
          </cell>
          <cell r="G62">
            <v>388.92089782712065</v>
          </cell>
          <cell r="H62">
            <v>396.77464353881794</v>
          </cell>
          <cell r="I62">
            <v>430.75552607280156</v>
          </cell>
          <cell r="J62">
            <v>459.00238677937671</v>
          </cell>
        </row>
        <row r="64">
          <cell r="B64" t="str">
            <v>Indice des prix à la consommation</v>
          </cell>
          <cell r="G64">
            <v>1.3443733610933872E-2</v>
          </cell>
          <cell r="H64">
            <v>2.562033241060524E-2</v>
          </cell>
          <cell r="I64">
            <v>1.673025999834965E-2</v>
          </cell>
          <cell r="J64">
            <v>8.2878415215676959E-3</v>
          </cell>
        </row>
        <row r="66">
          <cell r="B66" t="str">
            <v>F.B.C.F. totale  (en mds de FCFA constants)</v>
          </cell>
          <cell r="G66">
            <v>248.98234747106989</v>
          </cell>
          <cell r="H66">
            <v>285.13184788960166</v>
          </cell>
          <cell r="I66">
            <v>332.34949428175571</v>
          </cell>
          <cell r="J66">
            <v>389.57392554752823</v>
          </cell>
        </row>
        <row r="67">
          <cell r="B67" t="str">
            <v>privée</v>
          </cell>
          <cell r="G67">
            <v>181.270184</v>
          </cell>
          <cell r="H67">
            <v>204.83530791999999</v>
          </cell>
          <cell r="I67">
            <v>228.39136833079999</v>
          </cell>
          <cell r="J67">
            <v>258.08224621380396</v>
          </cell>
        </row>
        <row r="68">
          <cell r="B68" t="str">
            <v>publique et IPSBL</v>
          </cell>
          <cell r="G68">
            <v>67.712163471069886</v>
          </cell>
          <cell r="H68">
            <v>80.296539969601682</v>
          </cell>
          <cell r="I68">
            <v>103.95812595095573</v>
          </cell>
          <cell r="J68">
            <v>131.49167933372425</v>
          </cell>
        </row>
        <row r="70">
          <cell r="B70" t="str">
            <v>F.B.C.F. totale (en % du PIB)</v>
          </cell>
          <cell r="G70">
            <v>0.18075311538096467</v>
          </cell>
          <cell r="H70">
            <v>0.19876414169762607</v>
          </cell>
          <cell r="I70">
            <v>0.21492598246933209</v>
          </cell>
          <cell r="J70">
            <v>0.23437979213724719</v>
          </cell>
        </row>
        <row r="72">
          <cell r="B72" t="str">
            <v>Secteur extérieur</v>
          </cell>
        </row>
        <row r="74">
          <cell r="B74" t="str">
            <v>Exportations FOB (en % du PIB)</v>
          </cell>
          <cell r="G74">
            <v>0.16048110431610776</v>
          </cell>
          <cell r="H74">
            <v>0.1751757355204355</v>
          </cell>
          <cell r="I74">
            <v>0.16986834400569986</v>
          </cell>
          <cell r="J74">
            <v>0.16393217336978064</v>
          </cell>
        </row>
        <row r="75">
          <cell r="B75" t="str">
            <v>Importations FOB (en % du PIB)</v>
          </cell>
          <cell r="G75">
            <v>0.23043346986234342</v>
          </cell>
          <cell r="H75">
            <v>0.23221652522975911</v>
          </cell>
          <cell r="I75">
            <v>0.23297864294211384</v>
          </cell>
          <cell r="J75">
            <v>0.23690364296585809</v>
          </cell>
        </row>
        <row r="77">
          <cell r="B77" t="str">
            <v>Variation termes de l'échange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9">
          <cell r="B79" t="str">
            <v>Balance commerciale (en % du PIB)</v>
          </cell>
          <cell r="G79">
            <v>-6.9952365546235656E-2</v>
          </cell>
          <cell r="H79">
            <v>-5.7040789709323636E-2</v>
          </cell>
          <cell r="I79">
            <v>-6.3110298936413983E-2</v>
          </cell>
          <cell r="J79">
            <v>-7.2971469596077462E-2</v>
          </cell>
        </row>
        <row r="81">
          <cell r="B81" t="str">
            <v>Déficit courant dons inclus (en % du PIB)</v>
          </cell>
          <cell r="G81">
            <v>-4.974815384948867E-2</v>
          </cell>
          <cell r="H81">
            <v>-5.3230151398872119E-2</v>
          </cell>
          <cell r="I81">
            <v>-6.4206631575790013E-2</v>
          </cell>
          <cell r="J81">
            <v>-7.8616952162900322E-2</v>
          </cell>
        </row>
        <row r="82">
          <cell r="B82" t="str">
            <v>Déficit courant hors dons (en % du PIB)</v>
          </cell>
          <cell r="G82">
            <v>-5.9985858434081933E-2</v>
          </cell>
          <cell r="H82">
            <v>-6.4333223182163196E-2</v>
          </cell>
          <cell r="I82">
            <v>-7.5539950586887478E-2</v>
          </cell>
          <cell r="J82">
            <v>-9.0123483178130293E-2</v>
          </cell>
        </row>
        <row r="83">
          <cell r="B83" t="str">
            <v>Solde global (en % du PIB)</v>
          </cell>
          <cell r="G83">
            <v>2.0085195303697217E-2</v>
          </cell>
          <cell r="H83">
            <v>-7.6689755606877165E-3</v>
          </cell>
          <cell r="I83">
            <v>-2.0253924102767353E-2</v>
          </cell>
          <cell r="J83">
            <v>-3.7162177081564218E-2</v>
          </cell>
        </row>
        <row r="89">
          <cell r="G89">
            <v>36341.25</v>
          </cell>
          <cell r="H89">
            <v>36706.5</v>
          </cell>
          <cell r="I89">
            <v>37071.75</v>
          </cell>
          <cell r="J89">
            <v>37437</v>
          </cell>
        </row>
        <row r="90">
          <cell r="G90" t="str">
            <v>est.</v>
          </cell>
          <cell r="H90" t="str">
            <v>proj.</v>
          </cell>
          <cell r="I90" t="str">
            <v>proj.</v>
          </cell>
          <cell r="J90" t="str">
            <v>proj.</v>
          </cell>
        </row>
        <row r="92">
          <cell r="B92" t="str">
            <v>Monnaie et Crédit</v>
          </cell>
        </row>
        <row r="94">
          <cell r="B94" t="str">
            <v>Monnaie et quasi-monnaie (M2 en % du PIB)</v>
          </cell>
          <cell r="G94">
            <v>0.2061067568850258</v>
          </cell>
          <cell r="H94">
            <v>0.18939872201250851</v>
          </cell>
          <cell r="I94">
            <v>0.15598756964664992</v>
          </cell>
          <cell r="J94">
            <v>0.10769249907883259</v>
          </cell>
        </row>
        <row r="95">
          <cell r="B95" t="str">
            <v>Vélocité (PIB par rapport à M2)</v>
          </cell>
          <cell r="G95">
            <v>4.8518545200235144</v>
          </cell>
          <cell r="H95">
            <v>5.2798666716133216</v>
          </cell>
          <cell r="I95">
            <v>6.4107672314226392</v>
          </cell>
          <cell r="J95">
            <v>9.2856977835381507</v>
          </cell>
        </row>
        <row r="97">
          <cell r="B97" t="str">
            <v>Opérations consolidées de l'Etat</v>
          </cell>
        </row>
        <row r="99">
          <cell r="B99" t="str">
            <v>Indicateurs de recettes (en % du PIB)</v>
          </cell>
        </row>
        <row r="100">
          <cell r="B100" t="str">
            <v>Recettes et dons (en % du PIB)</v>
          </cell>
          <cell r="G100">
            <v>0.17411216727460099</v>
          </cell>
          <cell r="H100">
            <v>0.18400394096636885</v>
          </cell>
          <cell r="I100">
            <v>0.18800564365531616</v>
          </cell>
          <cell r="J100">
            <v>0.19657957934962106</v>
          </cell>
        </row>
        <row r="101">
          <cell r="B101" t="str">
            <v>Recettes hors dons (en % du PIB)</v>
          </cell>
          <cell r="G101">
            <v>0.16007091813904295</v>
          </cell>
          <cell r="H101">
            <v>0.16959638353328876</v>
          </cell>
          <cell r="I101">
            <v>0.17329931303377302</v>
          </cell>
          <cell r="J101">
            <v>0.18164848553223931</v>
          </cell>
        </row>
        <row r="102">
          <cell r="B102" t="str">
            <v>Recettes fiscales</v>
          </cell>
          <cell r="G102">
            <v>0.13571738511397075</v>
          </cell>
          <cell r="H102">
            <v>0.14185873969331661</v>
          </cell>
          <cell r="I102">
            <v>0.1418720535011696</v>
          </cell>
          <cell r="J102">
            <v>0.14623107628421117</v>
          </cell>
        </row>
        <row r="104">
          <cell r="B104" t="str">
            <v>Indicateurs de dépenses (en % du PIB)</v>
          </cell>
        </row>
        <row r="105">
          <cell r="B105" t="str">
            <v>Dépenses et prêts nets (en % du PIB)</v>
          </cell>
          <cell r="G105">
            <v>0.1524536591318969</v>
          </cell>
          <cell r="H105">
            <v>0.1708871878113174</v>
          </cell>
          <cell r="I105">
            <v>0.179310958839282</v>
          </cell>
          <cell r="J105">
            <v>0.19868145255592431</v>
          </cell>
        </row>
        <row r="106">
          <cell r="B106" t="str">
            <v>Masse salariale</v>
          </cell>
          <cell r="G106">
            <v>4.4869621815124688E-2</v>
          </cell>
          <cell r="H106">
            <v>4.5506676599180569E-2</v>
          </cell>
          <cell r="I106">
            <v>4.2004409854952497E-2</v>
          </cell>
          <cell r="J106">
            <v>3.8596215270429723E-2</v>
          </cell>
        </row>
        <row r="107">
          <cell r="B107" t="str">
            <v>Dépenses en capital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10">
          <cell r="B110" t="str">
            <v>Excedent/deficit (base engag. en % du PIB)</v>
          </cell>
          <cell r="G110">
            <v>7.6172590071460627E-3</v>
          </cell>
          <cell r="H110">
            <v>-1.2908042780286136E-3</v>
          </cell>
          <cell r="I110">
            <v>-6.0116458055089941E-3</v>
          </cell>
          <cell r="J110">
            <v>-1.7032967023685026E-2</v>
          </cell>
        </row>
        <row r="111">
          <cell r="B111" t="str">
            <v>hors dons (en % du PIB)</v>
          </cell>
          <cell r="G111">
            <v>-6.4239901284119921E-3</v>
          </cell>
          <cell r="H111">
            <v>-1.5698361711108694E-2</v>
          </cell>
          <cell r="I111">
            <v>-2.071797642705215E-2</v>
          </cell>
          <cell r="J111">
            <v>-3.1964060841066781E-2</v>
          </cell>
        </row>
        <row r="113">
          <cell r="B113" t="str">
            <v>Excedent/deficit (base caisse en % du PIB)</v>
          </cell>
          <cell r="G113">
            <v>-7.8986263848020058E-4</v>
          </cell>
          <cell r="H113">
            <v>-6.982741282449874E-3</v>
          </cell>
          <cell r="I113">
            <v>-1.1293438670930673E-2</v>
          </cell>
          <cell r="J113">
            <v>-2.1907982282392924E-2</v>
          </cell>
        </row>
        <row r="116">
          <cell r="B116" t="str">
            <v>Indicateurs de dette publique</v>
          </cell>
        </row>
        <row r="117">
          <cell r="B117" t="str">
            <v>Service dette ext. (en % Rec. tot. hors dons)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B118" t="str">
            <v>Service dette int. (en % Rec. tot. hors dons)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B119" t="str">
            <v>Service dette ext. (en % Exp. biens et Sces)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2">
          <cell r="B122" t="str">
            <v>Dette tot. admin. centrale (en % PIB) (fin période)</v>
          </cell>
          <cell r="G122">
            <v>0.58353945107333294</v>
          </cell>
          <cell r="H122">
            <v>0.5770297302688645</v>
          </cell>
          <cell r="I122">
            <v>0.53530795570660528</v>
          </cell>
          <cell r="J122">
            <v>0.51023329535000383</v>
          </cell>
        </row>
        <row r="123">
          <cell r="B123" t="str">
            <v>Dette publique intérieure directe (en % PIB)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B124" t="str">
            <v>Dette publique extérieure (en % PIB)</v>
          </cell>
          <cell r="G124">
            <v>0.58353945107333294</v>
          </cell>
          <cell r="H124">
            <v>0.5770297302688645</v>
          </cell>
          <cell r="I124">
            <v>0.53530795570660528</v>
          </cell>
          <cell r="J124">
            <v>0.51023329535000383</v>
          </cell>
        </row>
        <row r="127">
          <cell r="B127" t="str">
            <v>Service dette publ. ext. (en % export. b &amp; s)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33">
          <cell r="B133" t="str">
            <v>I N D I C A T E U R S  D E  C O N V E R G E N C E  ( U E M O A )</v>
          </cell>
        </row>
        <row r="136">
          <cell r="F136" t="str">
            <v>Objectif</v>
          </cell>
          <cell r="G136">
            <v>36341.25</v>
          </cell>
          <cell r="H136">
            <v>36706.5</v>
          </cell>
          <cell r="I136">
            <v>37071.75</v>
          </cell>
          <cell r="J136">
            <v>37437</v>
          </cell>
        </row>
        <row r="137">
          <cell r="G137" t="str">
            <v>est.</v>
          </cell>
          <cell r="H137" t="str">
            <v>proj.</v>
          </cell>
          <cell r="I137" t="str">
            <v>proj.</v>
          </cell>
          <cell r="J137" t="str">
            <v>proj.</v>
          </cell>
        </row>
        <row r="139">
          <cell r="B139" t="str">
            <v>Critères de premier rang</v>
          </cell>
        </row>
        <row r="141">
          <cell r="B141" t="str">
            <v>Ratio du solde budgétaire de base 1</v>
          </cell>
          <cell r="F141" t="str">
            <v>&gt; 0</v>
          </cell>
          <cell r="G141">
            <v>4.1659321735121449E-2</v>
          </cell>
          <cell r="H141">
            <v>3.5971777540137612E-2</v>
          </cell>
          <cell r="I141">
            <v>3.7036785331886889E-2</v>
          </cell>
          <cell r="J141">
            <v>2.9917552013907476E-2</v>
          </cell>
        </row>
        <row r="143">
          <cell r="B143" t="str">
            <v>Taux d'inflation annuel moyen</v>
          </cell>
          <cell r="F143" t="str">
            <v>&lt; 3 %</v>
          </cell>
          <cell r="G143">
            <v>1.3443733610933872E-2</v>
          </cell>
          <cell r="H143">
            <v>2.562033241060524E-2</v>
          </cell>
          <cell r="I143">
            <v>1.673025999834965E-2</v>
          </cell>
          <cell r="J143">
            <v>8.2878415215676959E-3</v>
          </cell>
        </row>
        <row r="145">
          <cell r="B145" t="str">
            <v>Ratio de l'encours de la dette intérieure</v>
          </cell>
        </row>
        <row r="146">
          <cell r="B146" t="str">
            <v>et extérieure rapporté au PIB</v>
          </cell>
          <cell r="F146" t="str">
            <v>&lt; 70 %</v>
          </cell>
          <cell r="G146">
            <v>0.58353945107333294</v>
          </cell>
          <cell r="H146">
            <v>0.5770297302688645</v>
          </cell>
          <cell r="I146">
            <v>0.53530795570660528</v>
          </cell>
          <cell r="J146">
            <v>0.51023329535000383</v>
          </cell>
        </row>
        <row r="148">
          <cell r="B148" t="str">
            <v>Arriérés de paiement intérieurs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 t="str">
            <v>Arriérés de paiement extérieurs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2">
          <cell r="B152" t="str">
            <v>Critères de second rang</v>
          </cell>
        </row>
        <row r="154">
          <cell r="B154" t="str">
            <v xml:space="preserve">Masse salariale sur recettes fiscales </v>
          </cell>
          <cell r="F154" t="str">
            <v>&lt; 35 %</v>
          </cell>
          <cell r="G154">
            <v>0.33061071562382915</v>
          </cell>
          <cell r="H154">
            <v>0.32078867116373028</v>
          </cell>
          <cell r="I154">
            <v>0.29607247388299907</v>
          </cell>
          <cell r="J154">
            <v>0.26393989739509988</v>
          </cell>
        </row>
        <row r="156">
          <cell r="B156" t="str">
            <v>Ratio des investissements publics</v>
          </cell>
        </row>
        <row r="157">
          <cell r="B157" t="str">
            <v xml:space="preserve">financés sur ressources internes </v>
          </cell>
        </row>
        <row r="158">
          <cell r="B158" t="str">
            <v xml:space="preserve">rapporté aux recettes fiscales </v>
          </cell>
          <cell r="F158" t="str">
            <v>&gt; 20 %</v>
          </cell>
          <cell r="G158">
            <v>7.4734607218683649E-2</v>
          </cell>
          <cell r="H158">
            <v>0.10164741189515308</v>
          </cell>
          <cell r="I158">
            <v>0.13769865684936974</v>
          </cell>
          <cell r="J158">
            <v>0.1849578444102013</v>
          </cell>
        </row>
        <row r="160">
          <cell r="B160" t="str">
            <v>Ratio du déficit extérieur courant hors</v>
          </cell>
        </row>
        <row r="161">
          <cell r="B161" t="str">
            <v>dons par rapport au PIB</v>
          </cell>
          <cell r="F161" t="str">
            <v>&lt; 5 %</v>
          </cell>
          <cell r="G161">
            <v>5.9985858434081933E-2</v>
          </cell>
          <cell r="H161">
            <v>6.4333223182163196E-2</v>
          </cell>
          <cell r="I161">
            <v>7.5539950586887478E-2</v>
          </cell>
          <cell r="J161">
            <v>9.0123483178130293E-2</v>
          </cell>
        </row>
        <row r="163">
          <cell r="B163" t="str">
            <v>Taux de pression fiscale 2</v>
          </cell>
          <cell r="F163" t="str">
            <v>&gt; 17 %</v>
          </cell>
          <cell r="G163">
            <v>0.13571738511397075</v>
          </cell>
          <cell r="H163">
            <v>0.14185873969331661</v>
          </cell>
          <cell r="I163">
            <v>0.1418720535011696</v>
          </cell>
          <cell r="J163">
            <v>0.14623107628421117</v>
          </cell>
        </row>
        <row r="169">
          <cell r="B169" t="str">
            <v>1 Recettes totales (hors dons) - Dépenses courantes - Dépenses d'investissements publics financés sur ressources internes</v>
          </cell>
        </row>
        <row r="170">
          <cell r="B170" t="str">
            <v>2 Recettes fiscales sur PIB nominal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rtie TaBEN"/>
    </sheet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3-ASSISTANCE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 Prog 2001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m exp"/>
      <sheetName val="Trim exp (2)"/>
      <sheetName val="Var trim"/>
      <sheetName val="BASEX92T"/>
      <sheetName val="Cumulés"/>
      <sheetName val="VALEUR"/>
      <sheetName val="1996"/>
      <sheetName val="Feuil1"/>
      <sheetName val="1995"/>
      <sheetName val="Feuil2"/>
    </sheetNames>
    <sheetDataSet>
      <sheetData sheetId="0" refreshError="1"/>
      <sheetData sheetId="1" refreshError="1"/>
      <sheetData sheetId="2">
        <row r="1">
          <cell r="A1" t="str">
            <v>CODE</v>
          </cell>
        </row>
        <row r="209">
          <cell r="A209" t="str">
            <v>VARIATIONS TRIMESTRIELLES</v>
          </cell>
        </row>
        <row r="211">
          <cell r="A211" t="str">
            <v>EXPORTATIONS</v>
          </cell>
        </row>
        <row r="212">
          <cell r="A212" t="str">
            <v>TRIMESTRIELLES</v>
          </cell>
        </row>
        <row r="213">
          <cell r="A213" t="str">
            <v>Variations en volume</v>
          </cell>
        </row>
        <row r="215">
          <cell r="A215" t="str">
            <v>AGRICULTURE VIVRIERE,ELEVAGE,PECHE</v>
          </cell>
          <cell r="B215">
            <v>-0.65949056016701157</v>
          </cell>
          <cell r="C215">
            <v>-0.47903377181908624</v>
          </cell>
          <cell r="D215">
            <v>-0.69598405958702703</v>
          </cell>
          <cell r="E215">
            <v>1.4031217181747087</v>
          </cell>
          <cell r="F215">
            <v>3.7016373042806148</v>
          </cell>
          <cell r="G215">
            <v>2.4888498718124303</v>
          </cell>
          <cell r="H215">
            <v>2.1074905479729629</v>
          </cell>
          <cell r="I215">
            <v>-0.85973562663780922</v>
          </cell>
          <cell r="J215">
            <v>-0.65010790490790082</v>
          </cell>
          <cell r="K215">
            <v>0.41428744209083246</v>
          </cell>
          <cell r="L215">
            <v>0.986874052836203</v>
          </cell>
          <cell r="M215">
            <v>2.1787611078077473</v>
          </cell>
          <cell r="N215">
            <v>5.5749129357509393</v>
          </cell>
          <cell r="O215">
            <v>-0.40782804655984062</v>
          </cell>
          <cell r="P215">
            <v>-0.23235271548940784</v>
          </cell>
          <cell r="Q215">
            <v>1.1078817065985214</v>
          </cell>
          <cell r="R215">
            <v>0.79516867784278089</v>
          </cell>
          <cell r="S215">
            <v>0.16658504935961171</v>
          </cell>
          <cell r="T215">
            <v>0.6402260983158865</v>
          </cell>
          <cell r="U215">
            <v>-2.5658554919991139E-2</v>
          </cell>
          <cell r="V215">
            <v>-0.28287633801930512</v>
          </cell>
          <cell r="W215">
            <v>1.3074306243485974</v>
          </cell>
          <cell r="X215">
            <v>-0.20520829671672991</v>
          </cell>
          <cell r="Y215">
            <v>-0.24160836356035209</v>
          </cell>
        </row>
        <row r="216">
          <cell r="A216" t="str">
            <v xml:space="preserve">Céréales </v>
          </cell>
          <cell r="B216">
            <v>-0.16731173184357551</v>
          </cell>
          <cell r="C216">
            <v>-0.96326753974976953</v>
          </cell>
          <cell r="D216">
            <v>8.6089730807577203E-2</v>
          </cell>
          <cell r="E216">
            <v>-0.77561655857231304</v>
          </cell>
          <cell r="F216">
            <v>1.0282319095720132</v>
          </cell>
          <cell r="G216">
            <v>14.718775510204079</v>
          </cell>
          <cell r="H216">
            <v>3.1086576557720766</v>
          </cell>
          <cell r="I216">
            <v>-0.59170640235735328</v>
          </cell>
          <cell r="J216">
            <v>-0.96290964518587518</v>
          </cell>
          <cell r="K216">
            <v>5.398314767209369</v>
          </cell>
          <cell r="L216">
            <v>-0.41913392100287816</v>
          </cell>
          <cell r="M216">
            <v>0.36507978165022048</v>
          </cell>
          <cell r="N216">
            <v>65.982305936073061</v>
          </cell>
          <cell r="O216">
            <v>-0.13795146618074683</v>
          </cell>
          <cell r="P216">
            <v>3.2847278422780688</v>
          </cell>
          <cell r="Q216">
            <v>12.510314332404114</v>
          </cell>
          <cell r="R216">
            <v>-0.89904391025367913</v>
          </cell>
          <cell r="S216">
            <v>-0.85704298455606631</v>
          </cell>
          <cell r="T216">
            <v>-0.9549863261416307</v>
          </cell>
          <cell r="U216">
            <v>0.53501513364136621</v>
          </cell>
          <cell r="V216">
            <v>98.636674403882679</v>
          </cell>
          <cell r="W216">
            <v>183.24560363564512</v>
          </cell>
          <cell r="X216">
            <v>29.567612627884248</v>
          </cell>
          <cell r="Y216">
            <v>-0.81316612821736978</v>
          </cell>
        </row>
        <row r="217">
          <cell r="A217" t="str">
            <v>Féculents</v>
          </cell>
          <cell r="B217">
            <v>-7.8025501678534392E-2</v>
          </cell>
          <cell r="C217">
            <v>4.4002421668670078E-2</v>
          </cell>
          <cell r="D217">
            <v>2.3003972764147109</v>
          </cell>
          <cell r="E217">
            <v>-0.79602477264494786</v>
          </cell>
          <cell r="F217">
            <v>0.61045435743365339</v>
          </cell>
          <cell r="G217">
            <v>0.81054073588489417</v>
          </cell>
          <cell r="H217">
            <v>-0.3853540714904049</v>
          </cell>
          <cell r="I217">
            <v>-0.20349983891626</v>
          </cell>
          <cell r="J217">
            <v>-0.22844145836994567</v>
          </cell>
          <cell r="K217">
            <v>0.14143174781482548</v>
          </cell>
          <cell r="L217">
            <v>1.7117013156237717</v>
          </cell>
          <cell r="M217">
            <v>1.7887699567569344</v>
          </cell>
          <cell r="N217">
            <v>0.63492890870704066</v>
          </cell>
          <cell r="O217">
            <v>-0.3777549588751411</v>
          </cell>
          <cell r="P217">
            <v>1.2253673571515225</v>
          </cell>
          <cell r="Q217">
            <v>0.72889366323487614</v>
          </cell>
          <cell r="R217">
            <v>-0.11459312902041774</v>
          </cell>
          <cell r="S217">
            <v>-9.3958832352450838E-2</v>
          </cell>
          <cell r="T217">
            <v>-0.53765256640349168</v>
          </cell>
          <cell r="U217">
            <v>-0.4585954071436853</v>
          </cell>
          <cell r="V217">
            <v>-0.10984964248863005</v>
          </cell>
          <cell r="W217">
            <v>-0.12394685209763967</v>
          </cell>
          <cell r="X217">
            <v>8.522286058535955E-2</v>
          </cell>
          <cell r="Y217">
            <v>0.57247777153496737</v>
          </cell>
        </row>
        <row r="218">
          <cell r="A218" t="str">
            <v>Elevage et chasse</v>
          </cell>
          <cell r="B218">
            <v>-0.35452322738386299</v>
          </cell>
          <cell r="C218">
            <v>1.2875536480686733E-2</v>
          </cell>
          <cell r="D218">
            <v>-0.89751726712712343</v>
          </cell>
          <cell r="E218">
            <v>0.25630252100840356</v>
          </cell>
          <cell r="F218">
            <v>0.69507575757575779</v>
          </cell>
          <cell r="G218">
            <v>1.3389830508474581</v>
          </cell>
          <cell r="H218">
            <v>1.9234972677595623</v>
          </cell>
          <cell r="I218">
            <v>1.4665551839464883</v>
          </cell>
          <cell r="J218">
            <v>0.16089385474860318</v>
          </cell>
          <cell r="K218">
            <v>-0.30661231884057971</v>
          </cell>
          <cell r="L218">
            <v>-0.2180685358255452</v>
          </cell>
          <cell r="M218">
            <v>1.0454237288135593</v>
          </cell>
          <cell r="N218">
            <v>1.9278152069297394</v>
          </cell>
          <cell r="O218">
            <v>0.23905943827563703</v>
          </cell>
          <cell r="P218">
            <v>1.9752988047808766</v>
          </cell>
          <cell r="Q218">
            <v>0.2114683460391118</v>
          </cell>
          <cell r="R218">
            <v>-0.4730440499671269</v>
          </cell>
          <cell r="S218">
            <v>0.71006852925672126</v>
          </cell>
          <cell r="T218">
            <v>-5.0348152115693656E-2</v>
          </cell>
          <cell r="U218">
            <v>-0.34801641586867305</v>
          </cell>
          <cell r="V218">
            <v>5.4273237679351327E-2</v>
          </cell>
          <cell r="W218">
            <v>-0.15104808877928477</v>
          </cell>
          <cell r="X218">
            <v>-0.23011844331641285</v>
          </cell>
          <cell r="Y218">
            <v>0.75493075954678979</v>
          </cell>
        </row>
        <row r="219">
          <cell r="A219" t="str">
            <v>Pêche</v>
          </cell>
          <cell r="B219">
            <v>-0.61734970300150716</v>
          </cell>
          <cell r="C219">
            <v>-0.63228374079136784</v>
          </cell>
          <cell r="D219">
            <v>-0.82267159533150658</v>
          </cell>
          <cell r="E219">
            <v>1.4255683374417969</v>
          </cell>
          <cell r="F219">
            <v>0.40584373793280992</v>
          </cell>
          <cell r="G219">
            <v>0.41224751628396605</v>
          </cell>
          <cell r="H219">
            <v>2.7420696480897657</v>
          </cell>
          <cell r="I219">
            <v>0.36470654659402069</v>
          </cell>
          <cell r="J219">
            <v>-0.22549594091436231</v>
          </cell>
          <cell r="K219">
            <v>2.1265912717362188</v>
          </cell>
          <cell r="L219">
            <v>0.21255274888558695</v>
          </cell>
          <cell r="M219">
            <v>4.1816639774936881E-2</v>
          </cell>
          <cell r="N219">
            <v>3.6467092767580613</v>
          </cell>
          <cell r="O219">
            <v>-0.80669948518510237</v>
          </cell>
          <cell r="P219">
            <v>-0.64858317157814249</v>
          </cell>
          <cell r="Q219">
            <v>-0.45309202100727708</v>
          </cell>
          <cell r="R219">
            <v>0.19837620652400667</v>
          </cell>
          <cell r="S219">
            <v>0.87018881014438998</v>
          </cell>
          <cell r="T219">
            <v>1.1177795678114748</v>
          </cell>
          <cell r="U219">
            <v>2.4998801925632264</v>
          </cell>
          <cell r="V219">
            <v>0.2629403131461665</v>
          </cell>
          <cell r="W219">
            <v>2.3352267750694269</v>
          </cell>
          <cell r="X219">
            <v>1.6088450607750087</v>
          </cell>
          <cell r="Y219">
            <v>0.55713817434186641</v>
          </cell>
        </row>
        <row r="220">
          <cell r="A220" t="str">
            <v>Anacardes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</row>
        <row r="221">
          <cell r="A221" t="str">
            <v>Autres</v>
          </cell>
          <cell r="B221">
            <v>-0.82468718334400215</v>
          </cell>
          <cell r="C221">
            <v>-0.40844393134055224</v>
          </cell>
          <cell r="D221">
            <v>-0.78155521096308833</v>
          </cell>
          <cell r="E221">
            <v>3.7725602165967791</v>
          </cell>
          <cell r="F221">
            <v>6.3330364218675292</v>
          </cell>
          <cell r="G221">
            <v>2.8333228699308872</v>
          </cell>
          <cell r="H221">
            <v>1.9881170990661414</v>
          </cell>
          <cell r="I221">
            <v>-0.96662055629910371</v>
          </cell>
          <cell r="J221">
            <v>-0.84033475344533459</v>
          </cell>
          <cell r="K221">
            <v>0.30127770258069142</v>
          </cell>
          <cell r="L221">
            <v>1.1939128004605926</v>
          </cell>
          <cell r="M221">
            <v>6.827737066239405</v>
          </cell>
          <cell r="N221">
            <v>8.5016138415582372</v>
          </cell>
          <cell r="O221">
            <v>-0.37592447557197184</v>
          </cell>
          <cell r="P221">
            <v>-0.28113888238765083</v>
          </cell>
          <cell r="Q221">
            <v>1.7203775008559101</v>
          </cell>
          <cell r="R221">
            <v>1.4757075897279206</v>
          </cell>
          <cell r="S221">
            <v>0.1476693231784294</v>
          </cell>
          <cell r="T221">
            <v>0.77049331535939203</v>
          </cell>
          <cell r="U221">
            <v>-0.6055829954454236</v>
          </cell>
          <cell r="V221">
            <v>-0.77638213510262355</v>
          </cell>
          <cell r="W221">
            <v>0.58588921623748336</v>
          </cell>
          <cell r="X221">
            <v>-0.4613156426633781</v>
          </cell>
          <cell r="Y221">
            <v>-0.90171774464638066</v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A223" t="str">
            <v>AGRICULTURE INDUSTRIELLE ET D'EXPORT.</v>
          </cell>
          <cell r="B223">
            <v>0.16797225055778253</v>
          </cell>
          <cell r="C223">
            <v>0.34622424733068891</v>
          </cell>
          <cell r="D223">
            <v>0.26319382839210292</v>
          </cell>
          <cell r="E223">
            <v>0.15717582198091162</v>
          </cell>
          <cell r="F223">
            <v>0.15755741908656007</v>
          </cell>
          <cell r="G223">
            <v>5.023399858406008E-2</v>
          </cell>
          <cell r="H223">
            <v>-0.18334922972304823</v>
          </cell>
          <cell r="I223">
            <v>-0.30468525945548541</v>
          </cell>
          <cell r="J223">
            <v>-0.13137990906928443</v>
          </cell>
          <cell r="K223">
            <v>0.54651455649417735</v>
          </cell>
          <cell r="L223">
            <v>-0.26495587030451728</v>
          </cell>
          <cell r="M223">
            <v>9.0549364487328976E-2</v>
          </cell>
          <cell r="N223">
            <v>0.49686903798538573</v>
          </cell>
          <cell r="O223">
            <v>0.23007609732241874</v>
          </cell>
          <cell r="P223">
            <v>0.5281607405709321</v>
          </cell>
          <cell r="Q223">
            <v>8.3711686654666995E-2</v>
          </cell>
          <cell r="R223">
            <v>7.2667309957338944E-2</v>
          </cell>
          <cell r="S223">
            <v>-0.14015424855856518</v>
          </cell>
          <cell r="T223">
            <v>0.31008489277369966</v>
          </cell>
          <cell r="U223">
            <v>0.18933574897851146</v>
          </cell>
          <cell r="V223">
            <v>-4.7079851549773677E-2</v>
          </cell>
          <cell r="W223">
            <v>-9.4668406089193136E-2</v>
          </cell>
          <cell r="X223">
            <v>-2.7768921875481745E-4</v>
          </cell>
          <cell r="Y223">
            <v>-8.9131861906798338E-2</v>
          </cell>
        </row>
        <row r="224">
          <cell r="A224" t="str">
            <v>Café vert</v>
          </cell>
          <cell r="B224">
            <v>1.2719188586770178</v>
          </cell>
          <cell r="C224">
            <v>1.9305445543065014E-2</v>
          </cell>
          <cell r="D224">
            <v>0.14454376747784314</v>
          </cell>
          <cell r="E224">
            <v>-0.57257755940484167</v>
          </cell>
          <cell r="F224">
            <v>-0.29078267541061165</v>
          </cell>
          <cell r="G224">
            <v>0.16233293047335851</v>
          </cell>
          <cell r="H224">
            <v>-0.58434469804000455</v>
          </cell>
          <cell r="I224">
            <v>-0.83864234701597051</v>
          </cell>
          <cell r="J224">
            <v>-0.2045602311205964</v>
          </cell>
          <cell r="K224">
            <v>0.17172707084558336</v>
          </cell>
          <cell r="L224">
            <v>9.1548393020831842E-2</v>
          </cell>
          <cell r="M224">
            <v>1.2545349495475824</v>
          </cell>
          <cell r="N224">
            <v>0.39244774683185191</v>
          </cell>
          <cell r="O224">
            <v>-0.1129230212787351</v>
          </cell>
          <cell r="P224">
            <v>0.26787658579868512</v>
          </cell>
          <cell r="Q224">
            <v>-0.45039746163449224</v>
          </cell>
          <cell r="R224">
            <v>4.4909462155609647E-2</v>
          </cell>
          <cell r="S224">
            <v>0.55432300500247833</v>
          </cell>
          <cell r="T224">
            <v>0.78737953807495931</v>
          </cell>
          <cell r="U224">
            <v>4.0645110898894083</v>
          </cell>
          <cell r="V224">
            <v>0.45031983480091964</v>
          </cell>
          <cell r="W224">
            <v>0.16322471100331026</v>
          </cell>
          <cell r="X224">
            <v>-0.18248336748075589</v>
          </cell>
          <cell r="Y224">
            <v>-0.72125665797145055</v>
          </cell>
        </row>
        <row r="225">
          <cell r="A225" t="str">
            <v>Cacao fèves</v>
          </cell>
          <cell r="B225">
            <v>0.13932527303315023</v>
          </cell>
          <cell r="C225">
            <v>0.13586270944717005</v>
          </cell>
          <cell r="D225">
            <v>-7.0172094105220295E-2</v>
          </cell>
          <cell r="E225">
            <v>0.44997612256270636</v>
          </cell>
          <cell r="F225">
            <v>0.17820028195959936</v>
          </cell>
          <cell r="G225">
            <v>-0.24644746958850228</v>
          </cell>
          <cell r="H225">
            <v>6.8679136682629593E-2</v>
          </cell>
          <cell r="I225">
            <v>-0.28853935694726651</v>
          </cell>
          <cell r="J225">
            <v>7.8064737868144496E-2</v>
          </cell>
          <cell r="K225">
            <v>0.6884770073426425</v>
          </cell>
          <cell r="L225">
            <v>-0.54285680187857233</v>
          </cell>
          <cell r="M225">
            <v>1.0866017940101891E-2</v>
          </cell>
          <cell r="N225">
            <v>0.29555649254397887</v>
          </cell>
          <cell r="O225">
            <v>1.3556899858758831</v>
          </cell>
          <cell r="P225">
            <v>1.5035421525618964</v>
          </cell>
          <cell r="Q225">
            <v>0.13469614401871488</v>
          </cell>
          <cell r="R225">
            <v>0.10801051155153396</v>
          </cell>
          <cell r="S225">
            <v>-0.41690182687787358</v>
          </cell>
          <cell r="T225">
            <v>-0.31266190161330631</v>
          </cell>
          <cell r="U225">
            <v>5.8272058923257042E-2</v>
          </cell>
          <cell r="V225">
            <v>-9.7298144004003273E-2</v>
          </cell>
          <cell r="W225">
            <v>-0.26389645551855045</v>
          </cell>
          <cell r="X225">
            <v>0.17655239663641198</v>
          </cell>
          <cell r="Y225">
            <v>-5.520556534217802E-2</v>
          </cell>
        </row>
        <row r="226">
          <cell r="A226" t="str">
            <v>Cola</v>
          </cell>
          <cell r="B226">
            <v>-0.33826585271246234</v>
          </cell>
          <cell r="C226">
            <v>6.1600069979630927</v>
          </cell>
          <cell r="D226">
            <v>12.744924529670843</v>
          </cell>
          <cell r="E226">
            <v>-0.44501352761710933</v>
          </cell>
          <cell r="F226">
            <v>26.249800247727709</v>
          </cell>
          <cell r="G226">
            <v>1.7491714186623963</v>
          </cell>
          <cell r="H226">
            <v>0.15061975311538367</v>
          </cell>
          <cell r="I226">
            <v>-0.81868257827653712</v>
          </cell>
          <cell r="J226">
            <v>-0.62855078452057633</v>
          </cell>
          <cell r="K226">
            <v>-0.55043574465661504</v>
          </cell>
          <cell r="L226">
            <v>5.4698521804391831E-2</v>
          </cell>
          <cell r="M226">
            <v>2.4623005265199551</v>
          </cell>
          <cell r="N226">
            <v>0.32626287835333589</v>
          </cell>
          <cell r="O226">
            <v>0.8767703396530464</v>
          </cell>
          <cell r="P226">
            <v>0.55913879062151461</v>
          </cell>
          <cell r="Q226">
            <v>0.87621486077215605</v>
          </cell>
          <cell r="R226">
            <v>0.33818568943084282</v>
          </cell>
          <cell r="S226">
            <v>-0.23597727879800556</v>
          </cell>
          <cell r="T226">
            <v>-0.50669730523785039</v>
          </cell>
          <cell r="U226">
            <v>-0.65120029265894708</v>
          </cell>
          <cell r="V226">
            <v>0.69027277106187235</v>
          </cell>
          <cell r="W226">
            <v>0.27906106760684635</v>
          </cell>
          <cell r="X226">
            <v>1.3303629815536984</v>
          </cell>
          <cell r="Y226">
            <v>0.46259196686200599</v>
          </cell>
        </row>
        <row r="227">
          <cell r="A227" t="str">
            <v>Ananas frais</v>
          </cell>
          <cell r="B227">
            <v>-0.13125964247321986</v>
          </cell>
          <cell r="C227">
            <v>-5.3867430504217495E-2</v>
          </cell>
          <cell r="D227">
            <v>0.18933700728401104</v>
          </cell>
          <cell r="E227">
            <v>7.7063806826336512E-2</v>
          </cell>
          <cell r="F227">
            <v>1.2526736046339693E-2</v>
          </cell>
          <cell r="G227">
            <v>6.1390804546205935E-2</v>
          </cell>
          <cell r="H227">
            <v>0.13686760477752236</v>
          </cell>
          <cell r="I227">
            <v>8.408225925486712E-2</v>
          </cell>
          <cell r="J227">
            <v>-0.75108527690191551</v>
          </cell>
          <cell r="K227">
            <v>0.88030673323184461</v>
          </cell>
          <cell r="L227">
            <v>-7.1564706768096897E-2</v>
          </cell>
          <cell r="M227">
            <v>0.1145312592736234</v>
          </cell>
          <cell r="N227">
            <v>3.999349568640107</v>
          </cell>
          <cell r="O227">
            <v>-0.32507158701351069</v>
          </cell>
          <cell r="P227">
            <v>0.54242070470770543</v>
          </cell>
          <cell r="Q227">
            <v>0.11484630648386496</v>
          </cell>
          <cell r="R227">
            <v>8.7484773744573641E-2</v>
          </cell>
          <cell r="S227">
            <v>-9.2762781047639797E-2</v>
          </cell>
          <cell r="T227">
            <v>5.0781652830488744E-2</v>
          </cell>
          <cell r="U227">
            <v>4.1912372623851502E-2</v>
          </cell>
          <cell r="V227">
            <v>-0.22856696443492774</v>
          </cell>
          <cell r="W227">
            <v>5.1037698464171388E-2</v>
          </cell>
          <cell r="X227">
            <v>-0.49855531141297693</v>
          </cell>
          <cell r="Y227">
            <v>-5.8355930574960246E-2</v>
          </cell>
        </row>
        <row r="228">
          <cell r="A228" t="str">
            <v>Banane</v>
          </cell>
          <cell r="B228">
            <v>0.10437395392580129</v>
          </cell>
          <cell r="C228">
            <v>0.3752192940939576</v>
          </cell>
          <cell r="D228">
            <v>2.3968450929856777E-2</v>
          </cell>
          <cell r="E228">
            <v>4.9689420393089767E-2</v>
          </cell>
          <cell r="F228">
            <v>-3.3189350462347944E-2</v>
          </cell>
          <cell r="G228">
            <v>-0.13536990080683187</v>
          </cell>
          <cell r="H228">
            <v>-0.1374380331320928</v>
          </cell>
          <cell r="I228">
            <v>-8.0601351835707158E-2</v>
          </cell>
          <cell r="J228">
            <v>-0.69900379991252093</v>
          </cell>
          <cell r="K228">
            <v>0.73276050673501225</v>
          </cell>
          <cell r="L228">
            <v>0.369754441979955</v>
          </cell>
          <cell r="M228">
            <v>0.12307249735726322</v>
          </cell>
          <cell r="N228">
            <v>3.4005478034968872</v>
          </cell>
          <cell r="O228">
            <v>-0.23506496497951468</v>
          </cell>
          <cell r="P228">
            <v>-6.7035389503626974E-2</v>
          </cell>
          <cell r="Q228">
            <v>-3.4272198360444373E-2</v>
          </cell>
          <cell r="R228">
            <v>-0.1075004034465723</v>
          </cell>
          <cell r="S228">
            <v>-1.9821075967468627E-2</v>
          </cell>
          <cell r="T228">
            <v>0.26637558814306361</v>
          </cell>
          <cell r="U228">
            <v>5.6426045261075641E-2</v>
          </cell>
          <cell r="V228">
            <v>0.12510607437520638</v>
          </cell>
          <cell r="W228">
            <v>-4.4279252518858114E-2</v>
          </cell>
          <cell r="X228">
            <v>-9.2446238059204822E-2</v>
          </cell>
          <cell r="Y228">
            <v>0.12832610174695103</v>
          </cell>
        </row>
        <row r="229">
          <cell r="A229" t="str">
            <v>Coton en masse</v>
          </cell>
          <cell r="B229">
            <v>0.14100439218359551</v>
          </cell>
          <cell r="C229">
            <v>1.2081915617278192</v>
          </cell>
          <cell r="D229">
            <v>0.9600351845073769</v>
          </cell>
          <cell r="E229">
            <v>-0.4430854209035936</v>
          </cell>
          <cell r="F229">
            <v>0.26172226110544794</v>
          </cell>
          <cell r="G229">
            <v>0.10203201534401396</v>
          </cell>
          <cell r="H229">
            <v>2.7574819392985006E-2</v>
          </cell>
          <cell r="I229">
            <v>-0.75130073980846079</v>
          </cell>
          <cell r="J229">
            <v>-0.87308459419399442</v>
          </cell>
          <cell r="K229">
            <v>0.64449873851664208</v>
          </cell>
          <cell r="L229">
            <v>-0.67773034945192623</v>
          </cell>
          <cell r="M229">
            <v>3.2766043804450531</v>
          </cell>
          <cell r="N229">
            <v>7.7209378163055824</v>
          </cell>
          <cell r="O229">
            <v>-0.57619157911427255</v>
          </cell>
          <cell r="P229">
            <v>-0.42387854758224319</v>
          </cell>
          <cell r="Q229">
            <v>-0.56936640474184586</v>
          </cell>
          <cell r="R229">
            <v>-0.1182368638502419</v>
          </cell>
          <cell r="S229">
            <v>0.2015370271761654</v>
          </cell>
          <cell r="T229">
            <v>3.5171986640662967</v>
          </cell>
          <cell r="U229">
            <v>0.66009134354240229</v>
          </cell>
          <cell r="V229">
            <v>7.6133779052144579E-2</v>
          </cell>
          <cell r="W229">
            <v>-4.7454450777643986E-2</v>
          </cell>
          <cell r="X229">
            <v>0.73160275814522602</v>
          </cell>
          <cell r="Y229">
            <v>2.0216940625097646</v>
          </cell>
        </row>
        <row r="230">
          <cell r="A230" t="str">
            <v>Oléagineux</v>
          </cell>
          <cell r="B230">
            <v>-9.0688530076131535E-2</v>
          </cell>
          <cell r="C230">
            <v>-0.34091279101318717</v>
          </cell>
          <cell r="D230">
            <v>-0.22775134150045562</v>
          </cell>
          <cell r="E230">
            <v>-0.9238797856643628</v>
          </cell>
          <cell r="F230">
            <v>1.695648173705032</v>
          </cell>
          <cell r="G230">
            <v>1.4266776451214489</v>
          </cell>
          <cell r="H230">
            <v>0.51884627990822674</v>
          </cell>
          <cell r="I230">
            <v>0.8800244847990204</v>
          </cell>
          <cell r="J230">
            <v>-0.86071196969179842</v>
          </cell>
          <cell r="K230">
            <v>0.62584826275787164</v>
          </cell>
          <cell r="L230">
            <v>1.3443245576176088</v>
          </cell>
          <cell r="M230">
            <v>2.419687432168439</v>
          </cell>
          <cell r="N230">
            <v>1173.2790982602305</v>
          </cell>
          <cell r="O230">
            <v>146.28758060813487</v>
          </cell>
          <cell r="P230">
            <v>74.765510512169101</v>
          </cell>
          <cell r="Q230">
            <v>115.51510679488402</v>
          </cell>
          <cell r="R230">
            <v>2.0811225163718041</v>
          </cell>
          <cell r="S230">
            <v>-0.78210134098392659</v>
          </cell>
          <cell r="T230">
            <v>-0.78605691603139505</v>
          </cell>
          <cell r="U230">
            <v>-0.95297259848044602</v>
          </cell>
          <cell r="V230">
            <v>-0.96694162598556888</v>
          </cell>
          <cell r="W230">
            <v>-0.80766687236683732</v>
          </cell>
          <cell r="X230">
            <v>0.25146512990818515</v>
          </cell>
          <cell r="Y230">
            <v>4.3359127254192718</v>
          </cell>
        </row>
        <row r="231">
          <cell r="A231" t="str">
            <v>Graines d'oléagineux</v>
          </cell>
          <cell r="B231">
            <v>-0.97500659737296869</v>
          </cell>
          <cell r="C231">
            <v>-0.99809589896288664</v>
          </cell>
          <cell r="D231" t="str">
            <v/>
          </cell>
          <cell r="E231">
            <v>-0.7690773668708536</v>
          </cell>
          <cell r="F231">
            <v>-0.86750681198910085</v>
          </cell>
          <cell r="G231">
            <v>541</v>
          </cell>
          <cell r="H231">
            <v>22.991949907023201</v>
          </cell>
          <cell r="I231">
            <v>11.359505285365065</v>
          </cell>
          <cell r="J231">
            <v>3.2995847340320354</v>
          </cell>
          <cell r="K231">
            <v>0.43591961649378774</v>
          </cell>
          <cell r="L231">
            <v>-0.33320278424992222</v>
          </cell>
          <cell r="M231">
            <v>0.37885487973769694</v>
          </cell>
          <cell r="N231">
            <v>5.4122246240169254</v>
          </cell>
          <cell r="O231">
            <v>-0.98606519407343474</v>
          </cell>
          <cell r="P231">
            <v>-0.99524167719218237</v>
          </cell>
          <cell r="Q231">
            <v>-0.9990179501022004</v>
          </cell>
          <cell r="R231">
            <v>-0.70552499264816637</v>
          </cell>
          <cell r="S231">
            <v>-0.49196681280870203</v>
          </cell>
          <cell r="T231">
            <v>2.2604118043669938</v>
          </cell>
          <cell r="U231">
            <v>2.6975692900548394</v>
          </cell>
          <cell r="V231">
            <v>3.6438035853468387E-2</v>
          </cell>
          <cell r="W231">
            <v>0.4304831089384713</v>
          </cell>
          <cell r="X231">
            <v>-0.64399338254008653</v>
          </cell>
          <cell r="Y231">
            <v>-0.58929752480208442</v>
          </cell>
        </row>
        <row r="232">
          <cell r="A232" t="str">
            <v>Caoutchouc</v>
          </cell>
          <cell r="B232">
            <v>-0.11169499593199295</v>
          </cell>
          <cell r="C232">
            <v>0.60910225110991045</v>
          </cell>
          <cell r="D232">
            <v>1.5128331788806744</v>
          </cell>
          <cell r="E232">
            <v>-0.399110224332897</v>
          </cell>
          <cell r="F232">
            <v>1.2552275234579215</v>
          </cell>
          <cell r="G232">
            <v>0.25176909549569793</v>
          </cell>
          <cell r="H232">
            <v>-0.17823062810926749</v>
          </cell>
          <cell r="I232">
            <v>-0.1984079369292423</v>
          </cell>
          <cell r="J232">
            <v>-0.58235844257524816</v>
          </cell>
          <cell r="K232">
            <v>0.74650903868890173</v>
          </cell>
          <cell r="L232">
            <v>-0.10736407546283688</v>
          </cell>
          <cell r="M232">
            <v>0.24020318655096973</v>
          </cell>
          <cell r="N232">
            <v>1.928739391841741</v>
          </cell>
          <cell r="O232">
            <v>-0.27143238116507706</v>
          </cell>
          <cell r="P232">
            <v>0.82146671725414122</v>
          </cell>
          <cell r="Q232">
            <v>-0.1425185378499334</v>
          </cell>
          <cell r="R232">
            <v>-1.4397267032579375E-2</v>
          </cell>
          <cell r="S232">
            <v>0.28267603490283166</v>
          </cell>
          <cell r="T232">
            <v>5.2349829665607306E-2</v>
          </cell>
          <cell r="U232">
            <v>0.24300884929771271</v>
          </cell>
          <cell r="V232">
            <v>0.19599121043151957</v>
          </cell>
          <cell r="W232">
            <v>2.7272053259628226E-2</v>
          </cell>
          <cell r="X232">
            <v>-5.7937670621560633E-2</v>
          </cell>
          <cell r="Y232">
            <v>4.4658908257902308E-2</v>
          </cell>
        </row>
        <row r="233">
          <cell r="A233" t="str">
            <v>Sucre</v>
          </cell>
          <cell r="B233">
            <v>0.20438933333333309</v>
          </cell>
          <cell r="C233">
            <v>24999</v>
          </cell>
          <cell r="D233">
            <v>50.719250765614994</v>
          </cell>
          <cell r="E233">
            <v>9.7075173720783301</v>
          </cell>
          <cell r="F233">
            <v>-4.0744932345876506E-2</v>
          </cell>
          <cell r="G233">
            <v>-0.96689929577464784</v>
          </cell>
          <cell r="H233">
            <v>-3.263149680753874E-2</v>
          </cell>
          <cell r="I233">
            <v>0.27551622418879052</v>
          </cell>
          <cell r="J233">
            <v>-0.991756536901368</v>
          </cell>
          <cell r="K233">
            <v>1.5233623385741333</v>
          </cell>
          <cell r="L233">
            <v>-3.3323115759105737E-2</v>
          </cell>
          <cell r="M233">
            <v>-0.99907493061979646</v>
          </cell>
          <cell r="N233">
            <v>134.07</v>
          </cell>
          <cell r="O233">
            <v>4.0587881179303507</v>
          </cell>
          <cell r="P233">
            <v>1.2422615128355741E-3</v>
          </cell>
          <cell r="Q233">
            <v>102.699</v>
          </cell>
          <cell r="R233">
            <v>-6.5571629525431052E-2</v>
          </cell>
          <cell r="S233">
            <v>1.444242889090444</v>
          </cell>
          <cell r="T233">
            <v>0.99888733262312712</v>
          </cell>
          <cell r="U233">
            <v>-0.89670343976316069</v>
          </cell>
          <cell r="V233">
            <v>-0.99989604894066586</v>
          </cell>
          <cell r="W233">
            <v>-0.82603355691518143</v>
          </cell>
          <cell r="X233">
            <v>-0.52423517701582845</v>
          </cell>
          <cell r="Y233">
            <v>0.88926879361448896</v>
          </cell>
        </row>
        <row r="234">
          <cell r="A234" t="str">
            <v>Tabac</v>
          </cell>
          <cell r="B234" t="str">
            <v/>
          </cell>
          <cell r="C234">
            <v>112.47560975609757</v>
          </cell>
          <cell r="D234">
            <v>3128.8749999999995</v>
          </cell>
          <cell r="E234">
            <v>2.3996027558810749</v>
          </cell>
          <cell r="F234">
            <v>0.36081798314080538</v>
          </cell>
          <cell r="G234">
            <v>2.03052122514777</v>
          </cell>
          <cell r="H234">
            <v>1.8721194935899996</v>
          </cell>
          <cell r="I234">
            <v>-0.68450457358821271</v>
          </cell>
          <cell r="J234">
            <v>-0.58416500332667987</v>
          </cell>
          <cell r="K234">
            <v>8.2153267846377531</v>
          </cell>
          <cell r="L234">
            <v>-0.42665646944309255</v>
          </cell>
          <cell r="M234">
            <v>2.0936921296296296</v>
          </cell>
          <cell r="N234">
            <v>4.5577931034482759</v>
          </cell>
          <cell r="O234">
            <v>-0.62516402873821963</v>
          </cell>
          <cell r="P234">
            <v>1.6449602250679081</v>
          </cell>
          <cell r="Q234">
            <v>-4.4501393591350524E-2</v>
          </cell>
          <cell r="R234">
            <v>-0.59037077480518196</v>
          </cell>
          <cell r="S234">
            <v>-0.47894380222984212</v>
          </cell>
          <cell r="T234">
            <v>-0.17194678012415532</v>
          </cell>
          <cell r="U234">
            <v>0.55277995301487848</v>
          </cell>
          <cell r="V234">
            <v>0.80971306708026392</v>
          </cell>
          <cell r="W234">
            <v>0.16601647160814936</v>
          </cell>
          <cell r="X234">
            <v>-7.894358008969582E-2</v>
          </cell>
          <cell r="Y234">
            <v>8.4043572545261958E-2</v>
          </cell>
        </row>
        <row r="235">
          <cell r="A235" t="str">
            <v>Coco</v>
          </cell>
          <cell r="B235">
            <v>-0.15697413565961704</v>
          </cell>
          <cell r="C235">
            <v>5.5048878505352672E-2</v>
          </cell>
          <cell r="D235">
            <v>-6.8309774812158719E-2</v>
          </cell>
          <cell r="E235">
            <v>5.5584173114632485E-2</v>
          </cell>
          <cell r="F235">
            <v>0.24400289494960115</v>
          </cell>
          <cell r="G235">
            <v>0.26014145625312168</v>
          </cell>
          <cell r="H235">
            <v>0.67691066210614514</v>
          </cell>
          <cell r="I235">
            <v>0.2579479461708345</v>
          </cell>
          <cell r="J235">
            <v>-0.88049452757874147</v>
          </cell>
          <cell r="K235">
            <v>0.68347445409013718</v>
          </cell>
          <cell r="L235">
            <v>-0.20597705745227557</v>
          </cell>
          <cell r="M235">
            <v>0.41884019772515435</v>
          </cell>
          <cell r="N235">
            <v>9.2424929940691865</v>
          </cell>
          <cell r="O235">
            <v>-0.39718356926232579</v>
          </cell>
          <cell r="P235">
            <v>0.25130599133492892</v>
          </cell>
          <cell r="Q235">
            <v>-5.9559195181885904E-2</v>
          </cell>
          <cell r="R235">
            <v>0.12384512002336634</v>
          </cell>
          <cell r="S235">
            <v>1.8256609435149951E-3</v>
          </cell>
          <cell r="T235">
            <v>0.12487434867365721</v>
          </cell>
          <cell r="U235">
            <v>-1.1151937721681215E-2</v>
          </cell>
          <cell r="V235">
            <v>-5.2556951273310393E-2</v>
          </cell>
          <cell r="W235">
            <v>6.8199968305725722E-2</v>
          </cell>
          <cell r="X235">
            <v>4.4475855027735989E-2</v>
          </cell>
          <cell r="Y235">
            <v>-2.7582556174699846E-2</v>
          </cell>
        </row>
        <row r="236">
          <cell r="A236" t="str">
            <v>Autres</v>
          </cell>
          <cell r="B236">
            <v>7.035200869645708E-3</v>
          </cell>
          <cell r="C236">
            <v>7.963203379348549E-2</v>
          </cell>
          <cell r="D236">
            <v>-9.6799548078909115E-2</v>
          </cell>
          <cell r="E236">
            <v>1.6063124052297262E-2</v>
          </cell>
          <cell r="F236">
            <v>3.8072034527351306E-2</v>
          </cell>
          <cell r="G236">
            <v>0.26011732103284091</v>
          </cell>
          <cell r="H236">
            <v>0.62420534667087657</v>
          </cell>
          <cell r="I236">
            <v>0.3673640443610775</v>
          </cell>
          <cell r="J236">
            <v>-0.72105558129473346</v>
          </cell>
          <cell r="K236">
            <v>0.33814857621656902</v>
          </cell>
          <cell r="L236">
            <v>-0.24106961386597203</v>
          </cell>
          <cell r="M236">
            <v>8.5012382643295359E-2</v>
          </cell>
          <cell r="N236">
            <v>1.1523029581884283</v>
          </cell>
          <cell r="O236">
            <v>-0.33550639511523217</v>
          </cell>
          <cell r="P236">
            <v>0.27716343060163329</v>
          </cell>
          <cell r="Q236">
            <v>2.0979728238993856E-2</v>
          </cell>
          <cell r="R236">
            <v>8.0611536766625358E-2</v>
          </cell>
          <cell r="S236">
            <v>-3.8674790334422893E-2</v>
          </cell>
          <cell r="T236">
            <v>7.7736858936298114E-2</v>
          </cell>
          <cell r="U236">
            <v>8.4138123057742042E-2</v>
          </cell>
          <cell r="V236">
            <v>1.4919258923457468E-2</v>
          </cell>
          <cell r="W236">
            <v>8.1802670993151638E-2</v>
          </cell>
          <cell r="X236">
            <v>3.947328559171881E-2</v>
          </cell>
          <cell r="Y236">
            <v>-0.10669853329056733</v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A238" t="str">
            <v>BOIS</v>
          </cell>
          <cell r="B238">
            <v>3.3784136652028618E-2</v>
          </cell>
          <cell r="C238">
            <v>0.67466928184564301</v>
          </cell>
          <cell r="D238">
            <v>1.2816112630328189</v>
          </cell>
          <cell r="E238">
            <v>-0.34910278840179232</v>
          </cell>
          <cell r="F238">
            <v>1.7747424951947171</v>
          </cell>
          <cell r="G238">
            <v>0.70343375000479957</v>
          </cell>
          <cell r="H238">
            <v>0.10073464319714875</v>
          </cell>
          <cell r="I238">
            <v>-0.26508129269471215</v>
          </cell>
          <cell r="J238">
            <v>5.0928472450968432E-3</v>
          </cell>
          <cell r="K238">
            <v>7.3171748422431682E-2</v>
          </cell>
          <cell r="L238">
            <v>-0.29710506412255377</v>
          </cell>
          <cell r="M238">
            <v>-4.5282751618276884E-2</v>
          </cell>
          <cell r="N238">
            <v>8.4239689886942193E-2</v>
          </cell>
          <cell r="O238">
            <v>3.697994318118794</v>
          </cell>
          <cell r="P238">
            <v>-5.4181314503551903E-3</v>
          </cell>
          <cell r="Q238">
            <v>-0.18705082989239064</v>
          </cell>
          <cell r="R238">
            <v>-0.35097312858118279</v>
          </cell>
          <cell r="S238">
            <v>-2.9826118876477681E-2</v>
          </cell>
          <cell r="T238">
            <v>0.13641762455396655</v>
          </cell>
          <cell r="U238">
            <v>3.97757815559725E-2</v>
          </cell>
          <cell r="V238">
            <v>0.40058808678431101</v>
          </cell>
          <cell r="W238">
            <v>7.72674295199971E-2</v>
          </cell>
          <cell r="X238">
            <v>0.10652452383895339</v>
          </cell>
          <cell r="Y238">
            <v>7.5987752162627098E-2</v>
          </cell>
        </row>
        <row r="239">
          <cell r="A239" t="str">
            <v>Bois en grumes</v>
          </cell>
          <cell r="B239">
            <v>-0.17002217875935666</v>
          </cell>
          <cell r="C239">
            <v>1.2287518279778675</v>
          </cell>
          <cell r="D239">
            <v>8.5966358667134646</v>
          </cell>
          <cell r="E239">
            <v>-0.42862535358552201</v>
          </cell>
          <cell r="F239">
            <v>6.9938211017693419</v>
          </cell>
          <cell r="G239">
            <v>1.2138918398613905</v>
          </cell>
          <cell r="H239">
            <v>-0.14962201416902943</v>
          </cell>
          <cell r="I239">
            <v>-0.51560838751328997</v>
          </cell>
          <cell r="J239">
            <v>0.91737696833223792</v>
          </cell>
          <cell r="K239">
            <v>-0.98545195503263994</v>
          </cell>
          <cell r="L239">
            <v>-0.48837339291728932</v>
          </cell>
          <cell r="M239">
            <v>0.32497925857597632</v>
          </cell>
          <cell r="N239">
            <v>-0.38337260798897221</v>
          </cell>
          <cell r="O239">
            <v>27.64025304933886</v>
          </cell>
          <cell r="P239">
            <v>0.83981335426828907</v>
          </cell>
          <cell r="Q239">
            <v>0.11997438416385786</v>
          </cell>
          <cell r="R239">
            <v>-0.48212603739451521</v>
          </cell>
          <cell r="S239">
            <v>-0.20552573669402996</v>
          </cell>
          <cell r="T239">
            <v>-0.5593734488376032</v>
          </cell>
          <cell r="U239">
            <v>-0.5894934229442248</v>
          </cell>
          <cell r="V239">
            <v>-0.60319756650721335</v>
          </cell>
          <cell r="W239">
            <v>-0.53149695410206776</v>
          </cell>
          <cell r="X239">
            <v>0.32418688948267538</v>
          </cell>
          <cell r="Y239">
            <v>-0.30055372697573834</v>
          </cell>
        </row>
        <row r="240">
          <cell r="A240" t="str">
            <v>Bois transformé</v>
          </cell>
          <cell r="B240">
            <v>5.0650498372573072E-2</v>
          </cell>
          <cell r="C240">
            <v>0.61440182610046579</v>
          </cell>
          <cell r="D240">
            <v>0.99517790557768038</v>
          </cell>
          <cell r="E240">
            <v>-0.33563516056686538</v>
          </cell>
          <cell r="F240">
            <v>1.4362569436332686</v>
          </cell>
          <cell r="G240">
            <v>0.62037503327673948</v>
          </cell>
          <cell r="H240">
            <v>0.15076562024871043</v>
          </cell>
          <cell r="I240">
            <v>-0.21253823429767704</v>
          </cell>
          <cell r="J240">
            <v>-0.2073347595909748</v>
          </cell>
          <cell r="K240">
            <v>0.31198958170886315</v>
          </cell>
          <cell r="L240">
            <v>-0.26996161981335809</v>
          </cell>
          <cell r="M240">
            <v>-8.721395388131703E-2</v>
          </cell>
          <cell r="N240">
            <v>0.15826190375256899</v>
          </cell>
          <cell r="O240">
            <v>-0.36179125873760987</v>
          </cell>
          <cell r="P240">
            <v>-7.3036940015492102E-2</v>
          </cell>
          <cell r="Q240">
            <v>-0.23525998007162752</v>
          </cell>
          <cell r="R240">
            <v>-0.32240913031798102</v>
          </cell>
          <cell r="S240">
            <v>-1.7789472200434142E-2</v>
          </cell>
          <cell r="T240">
            <v>0.23253170648854682</v>
          </cell>
          <cell r="U240">
            <v>0.14462693906020729</v>
          </cell>
          <cell r="V240">
            <v>0.49146695139243612</v>
          </cell>
          <cell r="W240">
            <v>0.10710610113976471</v>
          </cell>
          <cell r="X240">
            <v>9.7037062380435524E-2</v>
          </cell>
          <cell r="Y240">
            <v>9.5687226246712997E-2</v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</row>
        <row r="242">
          <cell r="A242" t="str">
            <v>CONSERVES ET PREPARATIONS ALIMENTAIRES</v>
          </cell>
          <cell r="B242">
            <v>-7.9635468549617228E-2</v>
          </cell>
          <cell r="C242">
            <v>-9.3178500492117289E-2</v>
          </cell>
          <cell r="D242">
            <v>-0.1399445529796326</v>
          </cell>
          <cell r="E242">
            <v>-0.2118572074584264</v>
          </cell>
          <cell r="F242">
            <v>0.28160222299272242</v>
          </cell>
          <cell r="G242">
            <v>0.13064825486480469</v>
          </cell>
          <cell r="H242">
            <v>0.33341035054322954</v>
          </cell>
          <cell r="I242">
            <v>-0.18129143163155259</v>
          </cell>
          <cell r="J242">
            <v>-0.4743356029080481</v>
          </cell>
          <cell r="K242">
            <v>3.0580198702952588E-2</v>
          </cell>
          <cell r="L242">
            <v>-0.22525357560562609</v>
          </cell>
          <cell r="M242">
            <v>1.6889673579235236</v>
          </cell>
          <cell r="N242">
            <v>1.7597028674843886</v>
          </cell>
          <cell r="O242">
            <v>0.22899157020426664</v>
          </cell>
          <cell r="P242">
            <v>0.20944015828647888</v>
          </cell>
          <cell r="Q242">
            <v>-0.51035957603565874</v>
          </cell>
          <cell r="R242">
            <v>-0.11304016845957532</v>
          </cell>
          <cell r="S242">
            <v>3.0167665305345093E-3</v>
          </cell>
          <cell r="T242">
            <v>0.25491753775208825</v>
          </cell>
          <cell r="U242">
            <v>0.15483103570689383</v>
          </cell>
          <cell r="V242">
            <v>7.4621317327065118E-2</v>
          </cell>
          <cell r="W242">
            <v>0.34365306676853691</v>
          </cell>
          <cell r="X242">
            <v>2.0002380992912183E-2</v>
          </cell>
          <cell r="Y242">
            <v>-4.6255777641101004E-3</v>
          </cell>
        </row>
        <row r="243">
          <cell r="A243" t="str">
            <v>Cacao transformé</v>
          </cell>
          <cell r="B243">
            <v>-0.18711656013222766</v>
          </cell>
          <cell r="C243">
            <v>-0.26703994146972254</v>
          </cell>
          <cell r="D243">
            <v>7.8272589027010175E-2</v>
          </cell>
          <cell r="E243">
            <v>-0.17393906031164796</v>
          </cell>
          <cell r="F243">
            <v>-6.9590949206508879E-2</v>
          </cell>
          <cell r="G243">
            <v>2.6717452404189546E-2</v>
          </cell>
          <cell r="H243">
            <v>-0.10039075506231554</v>
          </cell>
          <cell r="I243">
            <v>0.31140681176445684</v>
          </cell>
          <cell r="J243">
            <v>4.0986766313294565E-2</v>
          </cell>
          <cell r="K243">
            <v>0.62379209852753337</v>
          </cell>
          <cell r="L243">
            <v>1.9142204744783564E-2</v>
          </cell>
          <cell r="M243">
            <v>0.77138211220995379</v>
          </cell>
          <cell r="N243">
            <v>0.22988821383845703</v>
          </cell>
          <cell r="O243">
            <v>-0.30148347259868513</v>
          </cell>
          <cell r="P243">
            <v>0.29530505553882946</v>
          </cell>
          <cell r="Q243">
            <v>-0.2896265664808223</v>
          </cell>
          <cell r="R243">
            <v>0.18602454266745139</v>
          </cell>
          <cell r="S243">
            <v>0.32515542084431215</v>
          </cell>
          <cell r="T243">
            <v>3.9646041186414349E-2</v>
          </cell>
          <cell r="U243">
            <v>0.16339976204005757</v>
          </cell>
          <cell r="V243">
            <v>0.24068358154989977</v>
          </cell>
          <cell r="W243">
            <v>0.39571890149703948</v>
          </cell>
          <cell r="X243">
            <v>0.25208680368742842</v>
          </cell>
          <cell r="Y243">
            <v>0.21563096967554274</v>
          </cell>
        </row>
        <row r="244">
          <cell r="A244" t="str">
            <v>Café transformé</v>
          </cell>
          <cell r="B244">
            <v>9.0219469473310721E-2</v>
          </cell>
          <cell r="C244">
            <v>-0.22251341640360456</v>
          </cell>
          <cell r="D244">
            <v>-0.42428898626242251</v>
          </cell>
          <cell r="E244">
            <v>-0.76644009540366242</v>
          </cell>
          <cell r="F244">
            <v>-0.43236589237755496</v>
          </cell>
          <cell r="G244">
            <v>0.63853034803727104</v>
          </cell>
          <cell r="H244">
            <v>1.6430749422805468</v>
          </cell>
          <cell r="I244">
            <v>0.28524118837184553</v>
          </cell>
          <cell r="J244">
            <v>-0.96083366520276647</v>
          </cell>
          <cell r="K244">
            <v>-0.93865067355600662</v>
          </cell>
          <cell r="L244">
            <v>-0.4858270389544258</v>
          </cell>
          <cell r="M244">
            <v>7.2349229889723858</v>
          </cell>
          <cell r="N244">
            <v>33.619755475415602</v>
          </cell>
          <cell r="O244">
            <v>14.526000745972352</v>
          </cell>
          <cell r="P244">
            <v>0.48124418357330367</v>
          </cell>
          <cell r="Q244">
            <v>-0.58886285308681041</v>
          </cell>
          <cell r="R244">
            <v>0.16908372121384607</v>
          </cell>
          <cell r="S244">
            <v>1.8388306064921034E-2</v>
          </cell>
          <cell r="T244">
            <v>1.5026048260738945E-2</v>
          </cell>
          <cell r="U244">
            <v>4.0593013317900217E-2</v>
          </cell>
          <cell r="V244">
            <v>-1.5248336383116623E-2</v>
          </cell>
          <cell r="W244">
            <v>-2.4590207595684088E-2</v>
          </cell>
          <cell r="X244">
            <v>0.22243657971130926</v>
          </cell>
          <cell r="Y244">
            <v>4.2171320327422102E-3</v>
          </cell>
        </row>
        <row r="245">
          <cell r="A245" t="str">
            <v>Conserves de thon</v>
          </cell>
          <cell r="B245">
            <v>0.35994826485518039</v>
          </cell>
          <cell r="C245">
            <v>-0.10385100152285698</v>
          </cell>
          <cell r="D245">
            <v>-0.56713841223921191</v>
          </cell>
          <cell r="E245">
            <v>-0.21733393896866082</v>
          </cell>
          <cell r="F245">
            <v>0.4172733550372727</v>
          </cell>
          <cell r="G245">
            <v>0.24677998376697308</v>
          </cell>
          <cell r="H245">
            <v>1.5052947727307058</v>
          </cell>
          <cell r="I245">
            <v>0.6759101328516528</v>
          </cell>
          <cell r="J245">
            <v>-0.8290155060399661</v>
          </cell>
          <cell r="K245">
            <v>-0.58597559539814736</v>
          </cell>
          <cell r="L245">
            <v>-0.34929362814251286</v>
          </cell>
          <cell r="M245">
            <v>2.6669080115237231</v>
          </cell>
          <cell r="N245">
            <v>9.1954329586158536</v>
          </cell>
          <cell r="O245">
            <v>1.448682602499678</v>
          </cell>
          <cell r="P245">
            <v>5.9799573116386284E-2</v>
          </cell>
          <cell r="Q245">
            <v>-0.59817812285344985</v>
          </cell>
          <cell r="R245">
            <v>-0.34714275318662036</v>
          </cell>
          <cell r="S245">
            <v>0.12055940054749792</v>
          </cell>
          <cell r="T245">
            <v>0.70744476846165982</v>
          </cell>
          <cell r="U245">
            <v>-0.33656905646778723</v>
          </cell>
          <cell r="V245">
            <v>-0.26195787736438991</v>
          </cell>
          <cell r="W245">
            <v>0.31684320564626844</v>
          </cell>
          <cell r="X245">
            <v>-0.13068290837445695</v>
          </cell>
          <cell r="Y245">
            <v>-0.46810235502409836</v>
          </cell>
        </row>
        <row r="246">
          <cell r="A246" t="str">
            <v>Conserves d'ananas</v>
          </cell>
          <cell r="B246">
            <v>-0.10673940674940385</v>
          </cell>
          <cell r="C246">
            <v>-1.2726989258782018E-2</v>
          </cell>
          <cell r="D246">
            <v>-0.66892156695690708</v>
          </cell>
          <cell r="E246">
            <v>-0.4718478483957036</v>
          </cell>
          <cell r="F246">
            <v>-7.5671095336307115E-2</v>
          </cell>
          <cell r="G246">
            <v>-0.72666145816017824</v>
          </cell>
          <cell r="H246">
            <v>-0.23643849716932575</v>
          </cell>
          <cell r="I246">
            <v>-0.83799037749814953</v>
          </cell>
          <cell r="J246">
            <v>-0.76770332445428446</v>
          </cell>
          <cell r="K246">
            <v>0.66099066500440862</v>
          </cell>
          <cell r="L246">
            <v>-0.69641412779724987</v>
          </cell>
          <cell r="M246">
            <v>2.3647058823529417</v>
          </cell>
          <cell r="N246">
            <v>-5.234549516008935E-2</v>
          </cell>
          <cell r="O246">
            <v>-0.89206407322654457</v>
          </cell>
          <cell r="P246">
            <v>-0.68250444049733572</v>
          </cell>
          <cell r="Q246">
            <v>-0.37555163283318616</v>
          </cell>
          <cell r="R246">
            <v>2.8482753201854325</v>
          </cell>
          <cell r="S246">
            <v>2.0169606512890095</v>
          </cell>
          <cell r="T246">
            <v>22.243356643356645</v>
          </cell>
          <cell r="U246">
            <v>2.7431367219353082</v>
          </cell>
          <cell r="V246">
            <v>-0.13267452069338681</v>
          </cell>
          <cell r="W246">
            <v>4.6104115133798071</v>
          </cell>
          <cell r="X246">
            <v>1.3353390697394549</v>
          </cell>
          <cell r="Y246">
            <v>1.0653837775034494</v>
          </cell>
        </row>
        <row r="247">
          <cell r="A247" t="str">
            <v>Jus d'ananas</v>
          </cell>
          <cell r="B247">
            <v>-0.18896212510143584</v>
          </cell>
          <cell r="C247">
            <v>-0.26796460339518446</v>
          </cell>
          <cell r="D247">
            <v>-3.7051374978035456E-2</v>
          </cell>
          <cell r="E247">
            <v>-0.62114771519659939</v>
          </cell>
          <cell r="F247">
            <v>-0.28335671361099701</v>
          </cell>
          <cell r="G247">
            <v>-7.1027306615597974E-2</v>
          </cell>
          <cell r="H247">
            <v>-0.13544360460640548</v>
          </cell>
          <cell r="I247">
            <v>1.3762511156445241</v>
          </cell>
          <cell r="J247">
            <v>-0.9104487393186137</v>
          </cell>
          <cell r="K247">
            <v>0.47841273270678042</v>
          </cell>
          <cell r="L247">
            <v>-0.34672273064556025</v>
          </cell>
          <cell r="M247">
            <v>0.29861062205096722</v>
          </cell>
          <cell r="N247">
            <v>16.299373190365586</v>
          </cell>
          <cell r="O247">
            <v>-0.16272499208417568</v>
          </cell>
          <cell r="P247">
            <v>1.9509364430309453</v>
          </cell>
          <cell r="Q247">
            <v>-0.28687821833826577</v>
          </cell>
          <cell r="R247">
            <v>1.0482856417669977</v>
          </cell>
          <cell r="S247">
            <v>0.4987654904584593</v>
          </cell>
          <cell r="T247">
            <v>-7.6771744467120762E-2</v>
          </cell>
          <cell r="U247">
            <v>1.768226837349943</v>
          </cell>
          <cell r="V247">
            <v>-0.24140197565318577</v>
          </cell>
          <cell r="W247">
            <v>0.10345668379137374</v>
          </cell>
          <cell r="X247">
            <v>-0.75218557870121594</v>
          </cell>
          <cell r="Y247">
            <v>-0.13243558616070494</v>
          </cell>
        </row>
        <row r="248">
          <cell r="A248" t="str">
            <v>Poisson fumé</v>
          </cell>
          <cell r="B248">
            <v>3.0748621830209482</v>
          </cell>
          <cell r="C248">
            <v>33.057973664959768</v>
          </cell>
          <cell r="D248">
            <v>-0.23809696354808318</v>
          </cell>
          <cell r="E248">
            <v>-0.67380298952865636</v>
          </cell>
          <cell r="F248">
            <v>-0.7697394410021916</v>
          </cell>
          <cell r="G248">
            <v>-0.96393150368632163</v>
          </cell>
          <cell r="H248">
            <v>-0.56537467700258393</v>
          </cell>
          <cell r="I248">
            <v>-0.91185079300251859</v>
          </cell>
          <cell r="J248">
            <v>-0.85410448638104863</v>
          </cell>
          <cell r="K248">
            <v>0.47119249665029006</v>
          </cell>
          <cell r="L248">
            <v>-0.63960520268742294</v>
          </cell>
          <cell r="M248">
            <v>2.0938996138996133</v>
          </cell>
          <cell r="N248">
            <v>4.0115979381443303</v>
          </cell>
          <cell r="O248">
            <v>-0.38008500303582271</v>
          </cell>
          <cell r="P248">
            <v>-0.43022832159339319</v>
          </cell>
          <cell r="Q248">
            <v>1.7444217041880901</v>
          </cell>
          <cell r="R248">
            <v>-0.11510028284906137</v>
          </cell>
          <cell r="S248">
            <v>1.4204211557296769</v>
          </cell>
          <cell r="T248">
            <v>0.30640520089523582</v>
          </cell>
          <cell r="U248">
            <v>-0.13001327779697702</v>
          </cell>
          <cell r="V248">
            <v>0.40423522574552329</v>
          </cell>
          <cell r="W248">
            <v>0.77244983982465021</v>
          </cell>
          <cell r="X248">
            <v>1.0097895252080273</v>
          </cell>
          <cell r="Y248">
            <v>0.71436934205849756</v>
          </cell>
        </row>
        <row r="249">
          <cell r="A249" t="str">
            <v>Sucreries</v>
          </cell>
          <cell r="B249">
            <v>-0.20466210404610574</v>
          </cell>
          <cell r="C249">
            <v>-0.28491270987060202</v>
          </cell>
          <cell r="D249">
            <v>-0.85323721509678374</v>
          </cell>
          <cell r="E249">
            <v>-8.7600649444543155E-2</v>
          </cell>
          <cell r="F249">
            <v>0.88081721086586673</v>
          </cell>
          <cell r="G249">
            <v>0.4866099315970096</v>
          </cell>
          <cell r="H249">
            <v>2.9006423993358035</v>
          </cell>
          <cell r="I249">
            <v>0.55073149527505216</v>
          </cell>
          <cell r="J249">
            <v>4.3635227333456053</v>
          </cell>
          <cell r="K249">
            <v>9.2929610259236881</v>
          </cell>
          <cell r="L249">
            <v>3.4623330568606558</v>
          </cell>
          <cell r="M249">
            <v>9.4298165572921366E-3</v>
          </cell>
          <cell r="N249">
            <v>2.0187604493547759</v>
          </cell>
          <cell r="O249">
            <v>-0.26527940766700575</v>
          </cell>
          <cell r="P249">
            <v>-0.15298824468326089</v>
          </cell>
          <cell r="Q249">
            <v>-0.14663139595090646</v>
          </cell>
          <cell r="R249">
            <v>-0.78949861596130622</v>
          </cell>
          <cell r="S249">
            <v>0.36098416290533208</v>
          </cell>
          <cell r="T249">
            <v>-0.1794672963240197</v>
          </cell>
          <cell r="U249">
            <v>16.652780955576908</v>
          </cell>
          <cell r="V249">
            <v>2.9770841064398543</v>
          </cell>
          <cell r="W249">
            <v>-0.78912645703166684</v>
          </cell>
          <cell r="X249">
            <v>-0.55045422263468557</v>
          </cell>
          <cell r="Y249">
            <v>-0.79657579988955118</v>
          </cell>
        </row>
        <row r="250">
          <cell r="A250" t="str">
            <v>Huile de palme</v>
          </cell>
          <cell r="B250">
            <v>-0.42801686009146633</v>
          </cell>
          <cell r="C250">
            <v>0.30775290255328014</v>
          </cell>
          <cell r="D250">
            <v>2.0274590054593831</v>
          </cell>
          <cell r="E250">
            <v>-5.0400675561683039E-2</v>
          </cell>
          <cell r="F250">
            <v>3.2655167234773685</v>
          </cell>
          <cell r="G250">
            <v>-4.0857921595090829E-2</v>
          </cell>
          <cell r="H250">
            <v>-0.53797163346961452</v>
          </cell>
          <cell r="I250">
            <v>-0.88435692930979137</v>
          </cell>
          <cell r="J250">
            <v>-0.82997652588160076</v>
          </cell>
          <cell r="K250">
            <v>0.21431820825953851</v>
          </cell>
          <cell r="L250">
            <v>-4.1591751880615035E-2</v>
          </cell>
          <cell r="M250">
            <v>0.53856253961034328</v>
          </cell>
          <cell r="N250">
            <v>1.0599286969744228</v>
          </cell>
          <cell r="O250">
            <v>-0.31431360894503302</v>
          </cell>
          <cell r="P250">
            <v>9.2989021650068837E-2</v>
          </cell>
          <cell r="Q250">
            <v>-0.49915449417971158</v>
          </cell>
          <cell r="R250">
            <v>-0.10013270380704553</v>
          </cell>
          <cell r="S250">
            <v>-0.56251226916297969</v>
          </cell>
          <cell r="T250">
            <v>-1.5255734638868979E-2</v>
          </cell>
          <cell r="U250">
            <v>1.0014584206177077</v>
          </cell>
          <cell r="V250">
            <v>0.37041668803794936</v>
          </cell>
          <cell r="W250">
            <v>0.93577905700787212</v>
          </cell>
          <cell r="X250">
            <v>5.4515205456296512E-2</v>
          </cell>
          <cell r="Y250">
            <v>-0.10552703813800501</v>
          </cell>
        </row>
        <row r="251">
          <cell r="A251" t="str">
            <v>Huile de palmiste</v>
          </cell>
          <cell r="B251">
            <v>-0.84571108382781124</v>
          </cell>
          <cell r="C251">
            <v>0.37610232364129925</v>
          </cell>
          <cell r="D251">
            <v>-0.10691548494553149</v>
          </cell>
          <cell r="E251">
            <v>-0.37722441478451274</v>
          </cell>
          <cell r="F251">
            <v>7.6893596247320275</v>
          </cell>
          <cell r="G251">
            <v>-0.21364025096100392</v>
          </cell>
          <cell r="H251">
            <v>-0.13376020276997647</v>
          </cell>
          <cell r="I251">
            <v>-3.1341802394405427E-2</v>
          </cell>
          <cell r="J251">
            <v>-8.4459787904591632E-2</v>
          </cell>
          <cell r="K251">
            <v>0.19969885503662521</v>
          </cell>
          <cell r="L251">
            <v>-6.3860714261128049E-2</v>
          </cell>
          <cell r="M251">
            <v>5.0024871745601329E-2</v>
          </cell>
          <cell r="N251">
            <v>-0.88057459135471594</v>
          </cell>
          <cell r="O251">
            <v>-0.15098570960515756</v>
          </cell>
          <cell r="P251">
            <v>0.33558058187695239</v>
          </cell>
          <cell r="Q251">
            <v>-0.39250070256218206</v>
          </cell>
          <cell r="R251">
            <v>8.0404881002115687</v>
          </cell>
          <cell r="S251">
            <v>5.541660911247015E-2</v>
          </cell>
          <cell r="T251">
            <v>0.29529322540708391</v>
          </cell>
          <cell r="U251">
            <v>-0.96520611861561822</v>
          </cell>
          <cell r="V251">
            <v>0.36164249846786478</v>
          </cell>
          <cell r="W251">
            <v>0.60890608215281383</v>
          </cell>
          <cell r="X251">
            <v>-0.41915429974145724</v>
          </cell>
          <cell r="Y251">
            <v>15.544587861993708</v>
          </cell>
        </row>
        <row r="252">
          <cell r="A252" t="str">
            <v>Huile de coco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</row>
        <row r="253">
          <cell r="A253" t="str">
            <v>Autres</v>
          </cell>
          <cell r="B253">
            <v>0.17885204836591462</v>
          </cell>
          <cell r="C253">
            <v>-8.061889736964778E-2</v>
          </cell>
          <cell r="D253">
            <v>-0.42256897999043908</v>
          </cell>
          <cell r="E253">
            <v>-9.6846521577568678E-2</v>
          </cell>
          <cell r="F253">
            <v>8.2015674398566718E-2</v>
          </cell>
          <cell r="G253">
            <v>5.0235908138291707E-2</v>
          </cell>
          <cell r="H253">
            <v>0.27251517913290169</v>
          </cell>
          <cell r="I253">
            <v>-0.56049708841248203</v>
          </cell>
          <cell r="J253">
            <v>-0.26424299944666529</v>
          </cell>
          <cell r="K253">
            <v>0.45337544324198831</v>
          </cell>
          <cell r="L253">
            <v>-0.44550726351259906</v>
          </cell>
          <cell r="M253">
            <v>0.92935875197334683</v>
          </cell>
          <cell r="N253">
            <v>0.5198993187843215</v>
          </cell>
          <cell r="O253">
            <v>-0.28997269169911355</v>
          </cell>
          <cell r="P253">
            <v>0.27870383892958017</v>
          </cell>
          <cell r="Q253">
            <v>-0.39928159621705339</v>
          </cell>
          <cell r="R253">
            <v>-0.44689447457232456</v>
          </cell>
          <cell r="S253">
            <v>-0.11116746599332927</v>
          </cell>
          <cell r="T253">
            <v>0.20403275476569194</v>
          </cell>
          <cell r="U253">
            <v>-0.2541898497415106</v>
          </cell>
          <cell r="V253">
            <v>0.48871228548842782</v>
          </cell>
          <cell r="W253">
            <v>5.3533619535255372E-2</v>
          </cell>
          <cell r="X253">
            <v>9.3666158364232865E-2</v>
          </cell>
          <cell r="Y253">
            <v>0.57285379884948684</v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</row>
        <row r="255">
          <cell r="A255" t="str">
            <v>AUTRES PRODUITS</v>
          </cell>
          <cell r="B255">
            <v>-0.20186749179896291</v>
          </cell>
          <cell r="C255">
            <v>-0.2018890027558975</v>
          </cell>
          <cell r="D255">
            <v>-0.13381926741531169</v>
          </cell>
          <cell r="E255">
            <v>-0.28016759663450541</v>
          </cell>
          <cell r="F255">
            <v>0.17703002260822687</v>
          </cell>
          <cell r="G255">
            <v>0.14084479890437418</v>
          </cell>
          <cell r="H255">
            <v>0.41081547985354838</v>
          </cell>
          <cell r="I255">
            <v>0.38729403336720547</v>
          </cell>
          <cell r="J255">
            <v>-0.41447179694101355</v>
          </cell>
          <cell r="K255">
            <v>-0.20131054644652269</v>
          </cell>
          <cell r="L255">
            <v>-7.9995970368069047E-2</v>
          </cell>
          <cell r="M255">
            <v>1.1610196108062381</v>
          </cell>
          <cell r="N255">
            <v>2.4783790891511015</v>
          </cell>
          <cell r="O255">
            <v>0.60539639560257452</v>
          </cell>
          <cell r="P255">
            <v>0.22851958898734548</v>
          </cell>
          <cell r="Q255">
            <v>-0.18771936753757856</v>
          </cell>
          <cell r="R255">
            <v>7.6466100607784027E-2</v>
          </cell>
          <cell r="S255">
            <v>6.3927992417047719E-3</v>
          </cell>
          <cell r="T255">
            <v>0.12827821176071041</v>
          </cell>
          <cell r="U255">
            <v>5.9489557161301887E-2</v>
          </cell>
          <cell r="V255">
            <v>8.5917233710042229E-3</v>
          </cell>
          <cell r="W255">
            <v>0.29639172952829385</v>
          </cell>
          <cell r="X255">
            <v>7.6586127853384367E-2</v>
          </cell>
          <cell r="Y255">
            <v>0.52611948161593469</v>
          </cell>
        </row>
        <row r="256">
          <cell r="A256" t="str">
            <v xml:space="preserve">  Dont :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</row>
        <row r="257">
          <cell r="A257" t="str">
            <v>Electricité (f/kwatt)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>
            <v>-6.8613138686131392E-2</v>
          </cell>
          <cell r="O257">
            <v>-0.13077858880778581</v>
          </cell>
          <cell r="P257">
            <v>0.69101123595505687</v>
          </cell>
          <cell r="Q257">
            <v>-0.93346619687010168</v>
          </cell>
          <cell r="R257">
            <v>1.3432601880877737</v>
          </cell>
          <cell r="S257">
            <v>0.60041987403778907</v>
          </cell>
          <cell r="T257">
            <v>1.3970099667774081</v>
          </cell>
          <cell r="U257">
            <v>1.5998168498168486</v>
          </cell>
          <cell r="V257">
            <v>2.8093645484949858E-2</v>
          </cell>
          <cell r="W257">
            <v>-0.3681679055531264</v>
          </cell>
          <cell r="X257">
            <v>-0.19022869022868982</v>
          </cell>
          <cell r="Y257">
            <v>-0.7851356111306802</v>
          </cell>
        </row>
        <row r="258">
          <cell r="A258" t="str">
            <v>Pétrole brut</v>
          </cell>
          <cell r="B258" t="str">
            <v/>
          </cell>
          <cell r="C258" t="str">
            <v/>
          </cell>
          <cell r="D258">
            <v>-1</v>
          </cell>
          <cell r="E258" t="str">
            <v/>
          </cell>
          <cell r="F258">
            <v>-1</v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>
            <v>-1</v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>
            <v>-0.30135106583518656</v>
          </cell>
          <cell r="R258">
            <v>0.58265632530331901</v>
          </cell>
          <cell r="S258">
            <v>-0.2441319075605245</v>
          </cell>
          <cell r="T258">
            <v>0.12590445958652574</v>
          </cell>
          <cell r="U258">
            <v>-0.28279666866938591</v>
          </cell>
          <cell r="V258">
            <v>-0.53370719576945769</v>
          </cell>
          <cell r="W258">
            <v>-0.25593506893340479</v>
          </cell>
          <cell r="X258">
            <v>-0.25099625000944814</v>
          </cell>
          <cell r="Y258">
            <v>-0.42982155100729846</v>
          </cell>
        </row>
        <row r="259">
          <cell r="A259" t="str">
            <v>Produits pétroliers</v>
          </cell>
          <cell r="B259">
            <v>-0.31504647050782497</v>
          </cell>
          <cell r="C259">
            <v>-0.3994188880283871</v>
          </cell>
          <cell r="D259">
            <v>-0.13116233288920043</v>
          </cell>
          <cell r="E259">
            <v>-0.1161544427965171</v>
          </cell>
          <cell r="F259">
            <v>-0.14071032666805416</v>
          </cell>
          <cell r="G259">
            <v>-0.16676032026663756</v>
          </cell>
          <cell r="H259">
            <v>0.17392987438701524</v>
          </cell>
          <cell r="I259">
            <v>-0.10460451099404566</v>
          </cell>
          <cell r="J259">
            <v>-4.9886119927182393E-2</v>
          </cell>
          <cell r="K259">
            <v>-0.17882553153114422</v>
          </cell>
          <cell r="L259">
            <v>5.0682768721671545E-2</v>
          </cell>
          <cell r="M259">
            <v>0.22614574831686673</v>
          </cell>
          <cell r="N259">
            <v>1.2945801035375344</v>
          </cell>
          <cell r="O259">
            <v>0.76724306045481638</v>
          </cell>
          <cell r="P259">
            <v>1.6983543439030857E-3</v>
          </cell>
          <cell r="Q259">
            <v>-6.5823134743053013E-2</v>
          </cell>
          <cell r="R259">
            <v>-0.39758644518645214</v>
          </cell>
          <cell r="S259">
            <v>-0.2216585139627899</v>
          </cell>
          <cell r="T259">
            <v>-1.508831577906522E-2</v>
          </cell>
          <cell r="U259">
            <v>8.6399272016695505E-2</v>
          </cell>
          <cell r="V259">
            <v>4.6440676195757646E-2</v>
          </cell>
          <cell r="W259">
            <v>1.0881125501347233E-2</v>
          </cell>
          <cell r="X259">
            <v>0.14118640738954746</v>
          </cell>
          <cell r="Y259">
            <v>0.23741093883627107</v>
          </cell>
        </row>
        <row r="260">
          <cell r="A260" t="str">
            <v>Ciment</v>
          </cell>
          <cell r="B260">
            <v>0.15452224452942565</v>
          </cell>
          <cell r="C260">
            <v>0.89540455901219351</v>
          </cell>
          <cell r="D260">
            <v>-0.40188690752263601</v>
          </cell>
          <cell r="E260">
            <v>-0.49341919581479743</v>
          </cell>
          <cell r="F260">
            <v>4.7165252246031297E-2</v>
          </cell>
          <cell r="G260">
            <v>1.487954619871612E-2</v>
          </cell>
          <cell r="H260">
            <v>1.4246641550483248</v>
          </cell>
          <cell r="I260">
            <v>2.8533046612004198</v>
          </cell>
          <cell r="J260">
            <v>-0.59164477616494615</v>
          </cell>
          <cell r="K260">
            <v>-0.75852076926389678</v>
          </cell>
          <cell r="L260">
            <v>-0.10710943413776197</v>
          </cell>
          <cell r="M260">
            <v>1.8663768129458225</v>
          </cell>
          <cell r="N260">
            <v>2.2456775355851186</v>
          </cell>
          <cell r="O260">
            <v>3.3731505955610404</v>
          </cell>
          <cell r="P260">
            <v>0.36849161108862538</v>
          </cell>
          <cell r="Q260">
            <v>-0.6525046820961049</v>
          </cell>
          <cell r="R260">
            <v>-0.18371762112483414</v>
          </cell>
          <cell r="S260">
            <v>6.7667659771293298E-2</v>
          </cell>
          <cell r="T260">
            <v>-3.1495934168725093E-2</v>
          </cell>
          <cell r="U260">
            <v>0.10973035994103064</v>
          </cell>
          <cell r="V260">
            <v>0.23181525590412488</v>
          </cell>
          <cell r="W260">
            <v>-0.16599358897173022</v>
          </cell>
          <cell r="X260">
            <v>0.16143005311411018</v>
          </cell>
          <cell r="Y260">
            <v>6.3654815180353763E-2</v>
          </cell>
        </row>
        <row r="261">
          <cell r="A261" t="str">
            <v>Tissus en coton</v>
          </cell>
          <cell r="B261">
            <v>-5.1097693017941648E-2</v>
          </cell>
          <cell r="C261">
            <v>0.28545858334725427</v>
          </cell>
          <cell r="D261">
            <v>0.14988902307482488</v>
          </cell>
          <cell r="E261">
            <v>-0.39223429804488397</v>
          </cell>
          <cell r="F261">
            <v>-0.21243126268516421</v>
          </cell>
          <cell r="G261">
            <v>-0.15275292604371093</v>
          </cell>
          <cell r="H261">
            <v>6.4153476585627311E-2</v>
          </cell>
          <cell r="I261">
            <v>4.1658722592945896E-2</v>
          </cell>
          <cell r="J261">
            <v>-0.74622682318363087</v>
          </cell>
          <cell r="K261">
            <v>-0.22223102512111914</v>
          </cell>
          <cell r="L261">
            <v>-0.27099737957660697</v>
          </cell>
          <cell r="M261">
            <v>0.83350043555040343</v>
          </cell>
          <cell r="N261">
            <v>4.2213772007658905</v>
          </cell>
          <cell r="O261">
            <v>0.13881831501571162</v>
          </cell>
          <cell r="P261">
            <v>0.1610998786385438</v>
          </cell>
          <cell r="Q261">
            <v>-0.34837220978903616</v>
          </cell>
          <cell r="R261">
            <v>-0.10782802432978378</v>
          </cell>
          <cell r="S261">
            <v>0.54938380748625271</v>
          </cell>
          <cell r="T261">
            <v>7.8321099844718578E-2</v>
          </cell>
          <cell r="U261">
            <v>0.30892045364278253</v>
          </cell>
          <cell r="V261">
            <v>0.25798248815032832</v>
          </cell>
          <cell r="W261">
            <v>-0.37345894382333977</v>
          </cell>
          <cell r="X261">
            <v>-8.0928086049270154E-2</v>
          </cell>
          <cell r="Y261">
            <v>2.083706308772082E-2</v>
          </cell>
        </row>
        <row r="262">
          <cell r="A262" t="str">
            <v xml:space="preserve">Plastiques </v>
          </cell>
          <cell r="B262">
            <v>-0.2503788536600331</v>
          </cell>
          <cell r="C262">
            <v>0.12082352763437898</v>
          </cell>
          <cell r="D262">
            <v>-0.54952087846039299</v>
          </cell>
          <cell r="E262">
            <v>-0.66484810431823249</v>
          </cell>
          <cell r="F262">
            <v>0.62077077455764651</v>
          </cell>
          <cell r="G262">
            <v>0.67878011088396195</v>
          </cell>
          <cell r="H262">
            <v>1.7747517655123861</v>
          </cell>
          <cell r="I262">
            <v>5.0759547686051887</v>
          </cell>
          <cell r="J262">
            <v>-0.75885450424578638</v>
          </cell>
          <cell r="K262">
            <v>-0.7631064244042195</v>
          </cell>
          <cell r="L262">
            <v>-0.31268310815941769</v>
          </cell>
          <cell r="M262">
            <v>0.58987176491905902</v>
          </cell>
          <cell r="N262">
            <v>3.93308425934298</v>
          </cell>
          <cell r="O262">
            <v>3.303337200362245</v>
          </cell>
          <cell r="P262">
            <v>0.84876423922869759</v>
          </cell>
          <cell r="Q262">
            <v>-0.36521808296700498</v>
          </cell>
          <cell r="R262">
            <v>7.9162885034276043E-2</v>
          </cell>
          <cell r="S262">
            <v>-1.6390980352600226E-2</v>
          </cell>
          <cell r="T262">
            <v>0.13532107370927426</v>
          </cell>
          <cell r="U262">
            <v>0.30336463246884326</v>
          </cell>
          <cell r="V262">
            <v>0.5673104211344282</v>
          </cell>
          <cell r="W262">
            <v>0.6258886920456328</v>
          </cell>
          <cell r="X262">
            <v>0.17293618384809517</v>
          </cell>
          <cell r="Y262">
            <v>2.1511572801976131E-2</v>
          </cell>
        </row>
        <row r="263">
          <cell r="A263" t="str">
            <v>Engrais</v>
          </cell>
          <cell r="B263">
            <v>-0.5922761354940016</v>
          </cell>
          <cell r="C263">
            <v>-0.46232914727863983</v>
          </cell>
          <cell r="D263">
            <v>0.81788893060099199</v>
          </cell>
          <cell r="E263">
            <v>0.15015394610755917</v>
          </cell>
          <cell r="F263">
            <v>-1.5180822764866431E-3</v>
          </cell>
          <cell r="G263">
            <v>3.5663967508567076</v>
          </cell>
          <cell r="H263">
            <v>-0.41435694373726617</v>
          </cell>
          <cell r="I263">
            <v>0.22087723117080471</v>
          </cell>
          <cell r="J263">
            <v>-0.66339017590820892</v>
          </cell>
          <cell r="K263">
            <v>0.18784098935738913</v>
          </cell>
          <cell r="L263">
            <v>0.95861100172565061</v>
          </cell>
          <cell r="M263">
            <v>0.35891733987940078</v>
          </cell>
          <cell r="N263">
            <v>2.1065555755359742</v>
          </cell>
          <cell r="O263">
            <v>0.50461096424783847</v>
          </cell>
          <cell r="P263">
            <v>-0.18308665095570764</v>
          </cell>
          <cell r="Q263">
            <v>-0.25409655011977517</v>
          </cell>
          <cell r="R263">
            <v>2.8334495755081037</v>
          </cell>
          <cell r="S263">
            <v>0.15140525570735441</v>
          </cell>
          <cell r="T263">
            <v>0.74517771035400604</v>
          </cell>
          <cell r="U263">
            <v>0.62860747353535729</v>
          </cell>
          <cell r="V263">
            <v>0.18951699890846818</v>
          </cell>
          <cell r="W263">
            <v>1.0096385011670335</v>
          </cell>
          <cell r="X263">
            <v>-0.33219899554602006</v>
          </cell>
          <cell r="Y263">
            <v>-0.17415412102563321</v>
          </cell>
        </row>
        <row r="264">
          <cell r="A264" t="str">
            <v>Divers</v>
          </cell>
          <cell r="B264">
            <v>2.5392539684165438E-2</v>
          </cell>
          <cell r="C264">
            <v>3.0293683242388569E-2</v>
          </cell>
          <cell r="D264">
            <v>-9.2241765466923198E-2</v>
          </cell>
          <cell r="E264">
            <v>-0.48205113042106729</v>
          </cell>
          <cell r="F264">
            <v>0.56515225301324223</v>
          </cell>
          <cell r="G264">
            <v>0.52692541233146173</v>
          </cell>
          <cell r="H264">
            <v>0.62305292569311566</v>
          </cell>
          <cell r="I264">
            <v>1.0645951423120223</v>
          </cell>
          <cell r="J264">
            <v>-0.66723238469771151</v>
          </cell>
          <cell r="K264">
            <v>-4.2896415716023872E-2</v>
          </cell>
          <cell r="L264">
            <v>-0.19141263322714819</v>
          </cell>
          <cell r="M264">
            <v>2.4925276691741529</v>
          </cell>
          <cell r="N264">
            <v>5.3969938849701542</v>
          </cell>
          <cell r="O264">
            <v>0.25718552400483974</v>
          </cell>
          <cell r="P264">
            <v>0.433633267984747</v>
          </cell>
          <cell r="Q264">
            <v>-0.11968374819855987</v>
          </cell>
          <cell r="R264">
            <v>0.61923307833425234</v>
          </cell>
          <cell r="S264">
            <v>0.36362715994949224</v>
          </cell>
          <cell r="T264">
            <v>0.28849623289505888</v>
          </cell>
          <cell r="U264">
            <v>-2.4203987514403558E-2</v>
          </cell>
          <cell r="V264">
            <v>-3.318587324421296E-2</v>
          </cell>
          <cell r="W264">
            <v>0.69367326214383129</v>
          </cell>
          <cell r="X264">
            <v>9.1895897242829205E-2</v>
          </cell>
          <cell r="Y264">
            <v>1.0913706485448653</v>
          </cell>
        </row>
        <row r="265"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</row>
        <row r="266">
          <cell r="A266" t="str">
            <v>Total douane</v>
          </cell>
          <cell r="B266">
            <v>-1</v>
          </cell>
          <cell r="C266">
            <v>-1</v>
          </cell>
          <cell r="D266">
            <v>-1</v>
          </cell>
          <cell r="E266">
            <v>-1</v>
          </cell>
          <cell r="F266">
            <v>-1</v>
          </cell>
          <cell r="G266">
            <v>-1</v>
          </cell>
          <cell r="H266">
            <v>-1</v>
          </cell>
          <cell r="I266">
            <v>-1</v>
          </cell>
          <cell r="J266">
            <v>-1</v>
          </cell>
          <cell r="K266">
            <v>-1</v>
          </cell>
          <cell r="L266">
            <v>-1</v>
          </cell>
          <cell r="M266">
            <v>-1</v>
          </cell>
          <cell r="N266">
            <v>-1</v>
          </cell>
          <cell r="O266">
            <v>-1</v>
          </cell>
          <cell r="P266">
            <v>-1</v>
          </cell>
          <cell r="Q266">
            <v>-1</v>
          </cell>
          <cell r="R266">
            <v>-1</v>
          </cell>
          <cell r="S266">
            <v>-1</v>
          </cell>
          <cell r="T266">
            <v>-1</v>
          </cell>
          <cell r="U266">
            <v>-1</v>
          </cell>
          <cell r="V266">
            <v>-1</v>
          </cell>
          <cell r="W266">
            <v>-1</v>
          </cell>
          <cell r="X266">
            <v>-1</v>
          </cell>
          <cell r="Y266">
            <v>-1</v>
          </cell>
        </row>
        <row r="267">
          <cell r="A267" t="str">
            <v>Total hors électricité (volume)</v>
          </cell>
          <cell r="B267">
            <v>-4.4872805857787412E-3</v>
          </cell>
          <cell r="C267">
            <v>2.1125233484522887E-2</v>
          </cell>
          <cell r="D267">
            <v>5.6000638092121413E-2</v>
          </cell>
          <cell r="E267">
            <v>-7.1570227032993317E-2</v>
          </cell>
          <cell r="F267">
            <v>0.25890034401035922</v>
          </cell>
          <cell r="G267">
            <v>0.17018733948122922</v>
          </cell>
          <cell r="H267">
            <v>0.15370661893857251</v>
          </cell>
          <cell r="I267">
            <v>-0.16598673747779991</v>
          </cell>
          <cell r="J267">
            <v>-0.2218491653311716</v>
          </cell>
          <cell r="K267">
            <v>0.14909343198527347</v>
          </cell>
          <cell r="L267">
            <v>-0.18746540459121119</v>
          </cell>
          <cell r="M267">
            <v>0.48056689466399827</v>
          </cell>
          <cell r="N267">
            <v>0.81857927628011651</v>
          </cell>
          <cell r="O267">
            <v>0.79728311178248346</v>
          </cell>
          <cell r="P267">
            <v>0.26871922159468564</v>
          </cell>
          <cell r="Q267">
            <v>-0.12840627933358795</v>
          </cell>
          <cell r="R267">
            <v>2.1581450677113256E-2</v>
          </cell>
          <cell r="S267">
            <v>-6.8487828842042853E-2</v>
          </cell>
          <cell r="T267">
            <v>0.21290382382410833</v>
          </cell>
          <cell r="U267">
            <v>0.132522575732958</v>
          </cell>
          <cell r="V267">
            <v>-2.3967764982879558E-3</v>
          </cell>
          <cell r="W267">
            <v>0.1218641358880439</v>
          </cell>
          <cell r="X267">
            <v>3.8497717110157925E-2</v>
          </cell>
          <cell r="Y267">
            <v>0.11780211478292935</v>
          </cell>
        </row>
        <row r="268">
          <cell r="A268" t="str">
            <v>Total exportations</v>
          </cell>
          <cell r="B268">
            <v>-4.4872805857787412E-3</v>
          </cell>
          <cell r="C268">
            <v>2.1125233484522887E-2</v>
          </cell>
          <cell r="D268">
            <v>5.6000638092121413E-2</v>
          </cell>
          <cell r="E268">
            <v>-7.1570227032993317E-2</v>
          </cell>
          <cell r="F268">
            <v>0.25890034401035922</v>
          </cell>
          <cell r="G268">
            <v>0.17018733948122922</v>
          </cell>
          <cell r="H268">
            <v>0.15370661893857251</v>
          </cell>
          <cell r="I268">
            <v>-0.16598673747779991</v>
          </cell>
          <cell r="J268">
            <v>-0.2218491653311716</v>
          </cell>
          <cell r="K268">
            <v>0.14909343198527347</v>
          </cell>
          <cell r="L268">
            <v>-0.18746540459121119</v>
          </cell>
          <cell r="M268">
            <v>0.48056689466399827</v>
          </cell>
          <cell r="N268">
            <v>0.8130808509851295</v>
          </cell>
          <cell r="O268">
            <v>0.78619055619280087</v>
          </cell>
          <cell r="P268">
            <v>0.27208880885603404</v>
          </cell>
          <cell r="Q268">
            <v>-0.12899382989419839</v>
          </cell>
          <cell r="R268">
            <v>2.5354737947562045E-2</v>
          </cell>
          <cell r="S268">
            <v>-6.3282410015635171E-2</v>
          </cell>
          <cell r="T268">
            <v>0.22410138660315759</v>
          </cell>
          <cell r="U268">
            <v>0.13837444838357804</v>
          </cell>
          <cell r="V268">
            <v>-2.203361751292765E-3</v>
          </cell>
          <cell r="W268">
            <v>0.11547808344003041</v>
          </cell>
          <cell r="X268">
            <v>3.4321679583515063E-2</v>
          </cell>
          <cell r="Y268">
            <v>0.10758681298125916</v>
          </cell>
        </row>
        <row r="269">
          <cell r="A269" t="str">
            <v>TOTAL HORS CAFE/CACAO</v>
          </cell>
          <cell r="B269">
            <v>-0.11931874493428973</v>
          </cell>
          <cell r="C269">
            <v>2.9662664202774192E-3</v>
          </cell>
          <cell r="D269">
            <v>6.1809204416035657E-2</v>
          </cell>
          <cell r="E269">
            <v>-0.27124757990338455</v>
          </cell>
          <cell r="F269">
            <v>0.34804063235462745</v>
          </cell>
          <cell r="G269">
            <v>0.2476186307263073</v>
          </cell>
          <cell r="H269">
            <v>0.27159302175480216</v>
          </cell>
          <cell r="I269">
            <v>1.0429533754028997E-2</v>
          </cell>
          <cell r="J269">
            <v>-0.44658570020441024</v>
          </cell>
          <cell r="K269">
            <v>7.1644377639918488E-2</v>
          </cell>
          <cell r="L269">
            <v>-0.17441479056119313</v>
          </cell>
          <cell r="M269">
            <v>0.8458047629456027</v>
          </cell>
          <cell r="N269">
            <v>1.7805144945941542</v>
          </cell>
          <cell r="O269">
            <v>0.87507073391196744</v>
          </cell>
          <cell r="P269">
            <v>0.19932057969934536</v>
          </cell>
          <cell r="Q269">
            <v>-0.23668978198256752</v>
          </cell>
          <cell r="R269">
            <v>-4.3982169588511533E-2</v>
          </cell>
          <cell r="S269">
            <v>2.5813719065334917E-2</v>
          </cell>
          <cell r="T269">
            <v>0.21696071986944365</v>
          </cell>
          <cell r="U269">
            <v>8.2796080541230888E-2</v>
          </cell>
          <cell r="V269">
            <v>4.8006738908345614E-2</v>
          </cell>
          <cell r="W269">
            <v>0.23402583480239714</v>
          </cell>
          <cell r="X269">
            <v>6.2425506482998383E-2</v>
          </cell>
          <cell r="Y269">
            <v>0.33798939545502171</v>
          </cell>
        </row>
        <row r="270">
          <cell r="A270" t="str">
            <v>TOTAL HORS PROD TRAD</v>
          </cell>
          <cell r="B270">
            <v>-0.14166115902693532</v>
          </cell>
          <cell r="C270">
            <v>-7.4763033916729116E-2</v>
          </cell>
          <cell r="D270">
            <v>-1.0212169284849026E-2</v>
          </cell>
          <cell r="E270">
            <v>-0.25803466076888515</v>
          </cell>
          <cell r="F270">
            <v>0.3201000679616508</v>
          </cell>
          <cell r="G270">
            <v>0.24403594555554409</v>
          </cell>
          <cell r="H270">
            <v>0.30435109099263213</v>
          </cell>
          <cell r="I270">
            <v>5.2108146409212797E-2</v>
          </cell>
          <cell r="J270">
            <v>-0.44117952627100288</v>
          </cell>
          <cell r="K270">
            <v>4.8519319076052891E-2</v>
          </cell>
          <cell r="L270">
            <v>-0.1333098952260876</v>
          </cell>
          <cell r="M270">
            <v>0.84480307646857944</v>
          </cell>
          <cell r="N270">
            <v>1.7237639294192721</v>
          </cell>
          <cell r="O270">
            <v>0.13126144923995908</v>
          </cell>
          <cell r="P270">
            <v>0.20804973106167846</v>
          </cell>
          <cell r="Q270">
            <v>-0.23688465249720592</v>
          </cell>
          <cell r="R270">
            <v>-2.6030364360499991E-2</v>
          </cell>
          <cell r="S270">
            <v>1.469494561237461E-2</v>
          </cell>
          <cell r="T270">
            <v>0.18311434486722566</v>
          </cell>
          <cell r="U270">
            <v>8.8770908828968542E-2</v>
          </cell>
          <cell r="V270">
            <v>5.0829113418375149E-2</v>
          </cell>
          <cell r="W270">
            <v>0.26186032976892948</v>
          </cell>
          <cell r="X270">
            <v>2.8495854992152791E-2</v>
          </cell>
          <cell r="Y270">
            <v>0.31815219019584418</v>
          </cell>
        </row>
        <row r="271">
          <cell r="A271" t="str">
            <v>TOTAL HORS PROD PETR</v>
          </cell>
          <cell r="B271">
            <v>7.560108103241725E-2</v>
          </cell>
          <cell r="C271">
            <v>0.19104597598865403</v>
          </cell>
          <cell r="D271">
            <v>0.10879012770366536</v>
          </cell>
          <cell r="E271">
            <v>-6.5645426444398192E-2</v>
          </cell>
          <cell r="F271">
            <v>0.32596218368111796</v>
          </cell>
          <cell r="G271">
            <v>0.24286405601443817</v>
          </cell>
          <cell r="H271">
            <v>0.14925402162420398</v>
          </cell>
          <cell r="I271">
            <v>-0.17340024389064224</v>
          </cell>
          <cell r="J271">
            <v>-0.2379634782216552</v>
          </cell>
          <cell r="K271">
            <v>0.19811903564856337</v>
          </cell>
          <cell r="L271">
            <v>-0.23332312906536112</v>
          </cell>
          <cell r="M271">
            <v>0.50814608022663421</v>
          </cell>
          <cell r="N271">
            <v>0.77385544705388121</v>
          </cell>
          <cell r="O271">
            <v>0.79965754009647405</v>
          </cell>
          <cell r="P271">
            <v>0.3242115040856397</v>
          </cell>
          <cell r="Q271">
            <v>-0.13384814380434051</v>
          </cell>
          <cell r="R271">
            <v>7.7509978530178936E-2</v>
          </cell>
          <cell r="S271">
            <v>-4.7623105627163986E-2</v>
          </cell>
          <cell r="T271">
            <v>0.25952931855759087</v>
          </cell>
          <cell r="U271">
            <v>0.13818859836344277</v>
          </cell>
          <cell r="V271">
            <v>-7.2023369350445732E-3</v>
          </cell>
          <cell r="W271">
            <v>0.13616921491518319</v>
          </cell>
          <cell r="X271">
            <v>2.1888055046987764E-2</v>
          </cell>
          <cell r="Y271">
            <v>0.10428138624633432</v>
          </cell>
        </row>
        <row r="276">
          <cell r="A276" t="str">
            <v>VAR VAL</v>
          </cell>
        </row>
        <row r="278">
          <cell r="A278" t="str">
            <v>EXPORTATIONS</v>
          </cell>
        </row>
        <row r="279">
          <cell r="A279" t="str">
            <v>TRIMESTRIELLES</v>
          </cell>
        </row>
        <row r="280">
          <cell r="A280" t="str">
            <v>Variations en valeur</v>
          </cell>
        </row>
        <row r="282">
          <cell r="A282" t="str">
            <v>AGRICULTURE VIVRIERE,ELEVAGE,PECHE</v>
          </cell>
          <cell r="B282">
            <v>-0.17317871505923188</v>
          </cell>
          <cell r="C282">
            <v>-0.28646077671311843</v>
          </cell>
          <cell r="D282">
            <v>-0.7875329417534348</v>
          </cell>
          <cell r="E282">
            <v>2.4743472212460937</v>
          </cell>
          <cell r="F282">
            <v>1.0658359375775062</v>
          </cell>
          <cell r="G282">
            <v>4.0569157956871864</v>
          </cell>
          <cell r="H282">
            <v>3.9278810414820491</v>
          </cell>
          <cell r="I282">
            <v>-0.58063332564271319</v>
          </cell>
          <cell r="J282">
            <v>-0.29844878796426055</v>
          </cell>
          <cell r="K282">
            <v>0.95107781094689581</v>
          </cell>
          <cell r="L282">
            <v>1.6802707676249726</v>
          </cell>
          <cell r="M282">
            <v>0.8151670905271049</v>
          </cell>
          <cell r="N282">
            <v>2.3065971850799567</v>
          </cell>
          <cell r="O282">
            <v>-0.19935012558141474</v>
          </cell>
          <cell r="P282">
            <v>-0.27542609665613138</v>
          </cell>
          <cell r="Q282">
            <v>2.112230445544085</v>
          </cell>
          <cell r="R282">
            <v>1.7812027729721343</v>
          </cell>
          <cell r="S282">
            <v>-0.1019229989350604</v>
          </cell>
          <cell r="T282">
            <v>0.97637175904432727</v>
          </cell>
          <cell r="U282">
            <v>-0.31564287081832021</v>
          </cell>
          <cell r="V282">
            <v>-0.38560823157429491</v>
          </cell>
          <cell r="W282">
            <v>1.0874347718380708</v>
          </cell>
          <cell r="X282">
            <v>-0.11608118014719004</v>
          </cell>
          <cell r="Y282">
            <v>-0.42051576804039004</v>
          </cell>
        </row>
        <row r="283">
          <cell r="A283" t="str">
            <v xml:space="preserve">Céréales </v>
          </cell>
          <cell r="B283">
            <v>-0.23784662045060667</v>
          </cell>
          <cell r="C283">
            <v>-0.98142870649252423</v>
          </cell>
          <cell r="D283">
            <v>-0.90171795549930944</v>
          </cell>
          <cell r="E283">
            <v>-0.77345895996756187</v>
          </cell>
          <cell r="F283">
            <v>0.93247681039955288</v>
          </cell>
          <cell r="G283">
            <v>2.8974778181818182</v>
          </cell>
          <cell r="H283">
            <v>3.9536708072200071</v>
          </cell>
          <cell r="I283">
            <v>-0.26808868552972442</v>
          </cell>
          <cell r="J283">
            <v>-0.9395369862825641</v>
          </cell>
          <cell r="K283">
            <v>15.279746043688487</v>
          </cell>
          <cell r="L283">
            <v>-0.19620054024303202</v>
          </cell>
          <cell r="M283">
            <v>-0.34897814715048769</v>
          </cell>
          <cell r="N283">
            <v>28.722997080765488</v>
          </cell>
          <cell r="O283">
            <v>4.9398881386021323</v>
          </cell>
          <cell r="P283">
            <v>2.9516714342899375</v>
          </cell>
          <cell r="Q283">
            <v>24.864687009275055</v>
          </cell>
          <cell r="R283">
            <v>-0.74352328779082466</v>
          </cell>
          <cell r="S283">
            <v>-0.97127462068547643</v>
          </cell>
          <cell r="T283">
            <v>-0.95490494890884026</v>
          </cell>
          <cell r="U283">
            <v>-0.16751580991974335</v>
          </cell>
          <cell r="V283">
            <v>42.995236676949261</v>
          </cell>
          <cell r="W283">
            <v>63.794397151686155</v>
          </cell>
          <cell r="X283">
            <v>29.472648062551297</v>
          </cell>
          <cell r="Y283">
            <v>-0.80960212346329352</v>
          </cell>
        </row>
        <row r="284">
          <cell r="A284" t="str">
            <v>Féculents</v>
          </cell>
          <cell r="B284">
            <v>0.23097137801880563</v>
          </cell>
          <cell r="C284">
            <v>7.9454087959506259E-2</v>
          </cell>
          <cell r="D284">
            <v>0.89499586868189973</v>
          </cell>
          <cell r="E284">
            <v>-0.8666574449771608</v>
          </cell>
          <cell r="F284">
            <v>0.35580159584000848</v>
          </cell>
          <cell r="G284">
            <v>0.95557502587338772</v>
          </cell>
          <cell r="H284">
            <v>1.2205035450962805</v>
          </cell>
          <cell r="I284">
            <v>0.66594580248203639</v>
          </cell>
          <cell r="J284">
            <v>-6.166914674501156E-2</v>
          </cell>
          <cell r="K284">
            <v>0.74297760804292068</v>
          </cell>
          <cell r="L284">
            <v>0.66248315548393788</v>
          </cell>
          <cell r="M284">
            <v>2.2305220842787383</v>
          </cell>
          <cell r="N284">
            <v>2.7007433001586949</v>
          </cell>
          <cell r="O284">
            <v>0.30954835163239269</v>
          </cell>
          <cell r="P284">
            <v>1.4163432414368078</v>
          </cell>
          <cell r="Q284">
            <v>1.1523348999342855</v>
          </cell>
          <cell r="R284">
            <v>-0.26253290654476324</v>
          </cell>
          <cell r="S284">
            <v>-0.28032943699619561</v>
          </cell>
          <cell r="T284">
            <v>-0.67920652135184767</v>
          </cell>
          <cell r="U284">
            <v>-0.60126261182228014</v>
          </cell>
          <cell r="V284">
            <v>4.9910450328689793E-2</v>
          </cell>
          <cell r="W284">
            <v>7.0145903286051192E-2</v>
          </cell>
          <cell r="X284">
            <v>0.15666011186505613</v>
          </cell>
          <cell r="Y284">
            <v>5.0602664697058986E-2</v>
          </cell>
        </row>
        <row r="285">
          <cell r="A285" t="str">
            <v>Elevage et chasse</v>
          </cell>
          <cell r="B285">
            <v>1.0418280112988008</v>
          </cell>
          <cell r="C285">
            <v>-1.9375943633618609E-2</v>
          </cell>
          <cell r="D285">
            <v>-0.80412784609848686</v>
          </cell>
          <cell r="E285">
            <v>0.46239554317548759</v>
          </cell>
          <cell r="F285">
            <v>0.95101969766376571</v>
          </cell>
          <cell r="G285">
            <v>9.5355935334872992</v>
          </cell>
          <cell r="H285">
            <v>3.9604010025062655</v>
          </cell>
          <cell r="I285">
            <v>4.5170604761904762</v>
          </cell>
          <cell r="J285">
            <v>0.31026307114500895</v>
          </cell>
          <cell r="K285">
            <v>-0.52388384519473419</v>
          </cell>
          <cell r="L285">
            <v>-0.27590440582053355</v>
          </cell>
          <cell r="M285">
            <v>-0.10282969010326148</v>
          </cell>
          <cell r="N285">
            <v>-0.57021849257505131</v>
          </cell>
          <cell r="O285">
            <v>-0.32349600982197668</v>
          </cell>
          <cell r="P285">
            <v>1.3131467487248187</v>
          </cell>
          <cell r="Q285">
            <v>0.37536245269114521</v>
          </cell>
          <cell r="R285">
            <v>1.3531604402935291</v>
          </cell>
          <cell r="S285">
            <v>3.9356109586140668</v>
          </cell>
          <cell r="T285">
            <v>0.29737499396689038</v>
          </cell>
          <cell r="U285">
            <v>1.1001283562357695</v>
          </cell>
          <cell r="V285">
            <v>0.10134625129787977</v>
          </cell>
          <cell r="W285">
            <v>-0.29820223686226444</v>
          </cell>
          <cell r="X285">
            <v>-0.34582112838159895</v>
          </cell>
          <cell r="Y285">
            <v>-0.39355187143511383</v>
          </cell>
        </row>
        <row r="286">
          <cell r="A286" t="str">
            <v>Pêche</v>
          </cell>
          <cell r="B286">
            <v>-0.45356174336464772</v>
          </cell>
          <cell r="C286">
            <v>-0.66356201074060639</v>
          </cell>
          <cell r="D286">
            <v>-0.62626415317040207</v>
          </cell>
          <cell r="E286">
            <v>-3.7110131262566681E-2</v>
          </cell>
          <cell r="F286">
            <v>0.43784122950248627</v>
          </cell>
          <cell r="G286">
            <v>1.6423229830073152</v>
          </cell>
          <cell r="H286">
            <v>1.5012796756670022</v>
          </cell>
          <cell r="I286">
            <v>2.7688744308347286</v>
          </cell>
          <cell r="J286">
            <v>0.41028479630714076</v>
          </cell>
          <cell r="K286">
            <v>1.4957972179395758</v>
          </cell>
          <cell r="L286">
            <v>3.1669849443856313E-2</v>
          </cell>
          <cell r="M286">
            <v>-0.28810989628379147</v>
          </cell>
          <cell r="N286">
            <v>1.8833601594936553</v>
          </cell>
          <cell r="O286">
            <v>4.6012504004450117E-2</v>
          </cell>
          <cell r="P286">
            <v>1.0732332884961533</v>
          </cell>
          <cell r="Q286">
            <v>1.2254126407886514</v>
          </cell>
          <cell r="R286">
            <v>1.2857741864636587</v>
          </cell>
          <cell r="S286">
            <v>1.0872019111689526</v>
          </cell>
          <cell r="T286">
            <v>0.14016165558219007</v>
          </cell>
          <cell r="U286">
            <v>0.56547270907752512</v>
          </cell>
          <cell r="V286">
            <v>-4.0942059503651262E-2</v>
          </cell>
          <cell r="W286">
            <v>0.26874003314777939</v>
          </cell>
          <cell r="X286">
            <v>0.97964384246686609</v>
          </cell>
          <cell r="Y286">
            <v>9.1411118903305111E-2</v>
          </cell>
        </row>
        <row r="287">
          <cell r="A287" t="str">
            <v>Anacardes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</row>
        <row r="288">
          <cell r="A288" t="str">
            <v>Autres</v>
          </cell>
          <cell r="B288">
            <v>4.964331309032155E-2</v>
          </cell>
          <cell r="C288">
            <v>-0.11327905137710859</v>
          </cell>
          <cell r="D288">
            <v>-0.83088614719791509</v>
          </cell>
          <cell r="E288">
            <v>7.8680547139807189</v>
          </cell>
          <cell r="F288">
            <v>1.5531581061510091</v>
          </cell>
          <cell r="G288">
            <v>4.4941515664204603</v>
          </cell>
          <cell r="H288">
            <v>5.5343199837483539</v>
          </cell>
          <cell r="I288">
            <v>-0.86231361403216988</v>
          </cell>
          <cell r="J288">
            <v>-0.54564044374418064</v>
          </cell>
          <cell r="K288">
            <v>0.91370599321861046</v>
          </cell>
          <cell r="L288">
            <v>2.1616824672304102</v>
          </cell>
          <cell r="M288">
            <v>2.9613153119067901</v>
          </cell>
          <cell r="N288">
            <v>2.810686427223192</v>
          </cell>
          <cell r="O288">
            <v>-0.2679163350396101</v>
          </cell>
          <cell r="P288">
            <v>-0.44259607866040884</v>
          </cell>
          <cell r="Q288">
            <v>2.5197267461191792</v>
          </cell>
          <cell r="R288">
            <v>2.6107798611235906</v>
          </cell>
          <cell r="S288">
            <v>-0.20014109530714508</v>
          </cell>
          <cell r="T288">
            <v>1.5054477559729049</v>
          </cell>
          <cell r="U288">
            <v>-0.51140216579011399</v>
          </cell>
          <cell r="V288">
            <v>-0.66764960053653688</v>
          </cell>
          <cell r="W288">
            <v>1.2475672332198924</v>
          </cell>
          <cell r="X288">
            <v>-0.28973246452640367</v>
          </cell>
          <cell r="Y288">
            <v>-0.82884709532172718</v>
          </cell>
        </row>
        <row r="289"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 t="str">
            <v/>
          </cell>
        </row>
        <row r="290">
          <cell r="A290" t="str">
            <v>AGRICULTURE INDUSTRIELLE ET D'EXPORT.</v>
          </cell>
          <cell r="B290">
            <v>3.3237967475972408E-2</v>
          </cell>
          <cell r="C290">
            <v>0.22883746526731286</v>
          </cell>
          <cell r="D290">
            <v>0.41228310088418363</v>
          </cell>
          <cell r="E290">
            <v>0.15595987923402044</v>
          </cell>
          <cell r="F290">
            <v>1.1983866469951834</v>
          </cell>
          <cell r="G290">
            <v>1.2095394921906273</v>
          </cell>
          <cell r="H290">
            <v>0.95145797597980231</v>
          </cell>
          <cell r="I290">
            <v>0.71125906727454091</v>
          </cell>
          <cell r="J290">
            <v>0.25902403814435049</v>
          </cell>
          <cell r="K290">
            <v>1.0375790976926114</v>
          </cell>
          <cell r="L290">
            <v>-0.11035782116654913</v>
          </cell>
          <cell r="M290">
            <v>9.430094003716305E-2</v>
          </cell>
          <cell r="N290">
            <v>0.3774980443069178</v>
          </cell>
          <cell r="O290">
            <v>7.4559225911079441E-2</v>
          </cell>
          <cell r="P290">
            <v>0.2627446600552783</v>
          </cell>
          <cell r="Q290">
            <v>2.9582538939515235E-2</v>
          </cell>
          <cell r="R290">
            <v>0.11853927264758868</v>
          </cell>
          <cell r="S290">
            <v>-0.14434256841824022</v>
          </cell>
          <cell r="T290">
            <v>0.33620835321275999</v>
          </cell>
          <cell r="U290">
            <v>0.26066305117119515</v>
          </cell>
          <cell r="V290">
            <v>0.11028549131005461</v>
          </cell>
          <cell r="W290">
            <v>-5.6373984411313138E-2</v>
          </cell>
          <cell r="X290">
            <v>1.1881503401974802E-2</v>
          </cell>
          <cell r="Y290">
            <v>1.7946994438484687E-2</v>
          </cell>
        </row>
        <row r="291">
          <cell r="A291" t="str">
            <v>Café vert</v>
          </cell>
          <cell r="B291">
            <v>0.94802440497555751</v>
          </cell>
          <cell r="C291">
            <v>0.16338575448995063</v>
          </cell>
          <cell r="D291">
            <v>0.71411839771560404</v>
          </cell>
          <cell r="E291">
            <v>-0.39842468929659336</v>
          </cell>
          <cell r="F291">
            <v>1.7632531226904575</v>
          </cell>
          <cell r="G291">
            <v>2.5424206012112633</v>
          </cell>
          <cell r="H291">
            <v>0.34137625596998622</v>
          </cell>
          <cell r="I291">
            <v>-0.16721667140685303</v>
          </cell>
          <cell r="J291">
            <v>0.45701570776562717</v>
          </cell>
          <cell r="K291">
            <v>1.3376800762023273</v>
          </cell>
          <cell r="L291">
            <v>0.57893560239677244</v>
          </cell>
          <cell r="M291">
            <v>1.5174343408100834</v>
          </cell>
          <cell r="N291">
            <v>9.804271150593391E-2</v>
          </cell>
          <cell r="O291">
            <v>-0.40808466898095552</v>
          </cell>
          <cell r="P291">
            <v>-0.15957219292795954</v>
          </cell>
          <cell r="Q291">
            <v>-0.63223779961482807</v>
          </cell>
          <cell r="R291">
            <v>-0.17444444047353225</v>
          </cell>
          <cell r="S291">
            <v>0.27882287470358369</v>
          </cell>
          <cell r="T291">
            <v>0.90668992583684815</v>
          </cell>
          <cell r="U291">
            <v>3.5843596712672134</v>
          </cell>
          <cell r="V291">
            <v>0.6944298811232974</v>
          </cell>
          <cell r="W291">
            <v>0.43461913229346449</v>
          </cell>
          <cell r="X291">
            <v>-7.4127075465012293E-2</v>
          </cell>
          <cell r="Y291">
            <v>-0.696044688523069</v>
          </cell>
        </row>
        <row r="292">
          <cell r="A292" t="str">
            <v>Cacao fèves</v>
          </cell>
          <cell r="B292">
            <v>1.0618966114428918E-2</v>
          </cell>
          <cell r="C292">
            <v>6.9685986311580406E-2</v>
          </cell>
          <cell r="D292">
            <v>-3.6130965533095249E-2</v>
          </cell>
          <cell r="E292">
            <v>0.41855239085698592</v>
          </cell>
          <cell r="F292">
            <v>1.1529292626526502</v>
          </cell>
          <cell r="G292">
            <v>0.68970343660766442</v>
          </cell>
          <cell r="H292">
            <v>1.3922335639021921</v>
          </cell>
          <cell r="I292">
            <v>0.76547386822563235</v>
          </cell>
          <cell r="J292">
            <v>0.51863774950188191</v>
          </cell>
          <cell r="K292">
            <v>0.96910280302528706</v>
          </cell>
          <cell r="L292">
            <v>-0.48949381643474843</v>
          </cell>
          <cell r="M292">
            <v>-1.876987345843617E-2</v>
          </cell>
          <cell r="N292">
            <v>0.17894140968959826</v>
          </cell>
          <cell r="O292">
            <v>1.196461538090162</v>
          </cell>
          <cell r="P292">
            <v>1.4194597368161204</v>
          </cell>
          <cell r="Q292">
            <v>0.16349624742644031</v>
          </cell>
          <cell r="R292">
            <v>0.21277688866748523</v>
          </cell>
          <cell r="S292">
            <v>-0.34827415221241598</v>
          </cell>
          <cell r="T292">
            <v>-0.30437403587597889</v>
          </cell>
          <cell r="U292">
            <v>0.17414844083508929</v>
          </cell>
          <cell r="V292">
            <v>9.9683049886441388E-2</v>
          </cell>
          <cell r="W292">
            <v>-0.28662968131034672</v>
          </cell>
          <cell r="X292">
            <v>0.28541982666808052</v>
          </cell>
          <cell r="Y292">
            <v>0.11249084206635018</v>
          </cell>
        </row>
        <row r="293">
          <cell r="A293" t="str">
            <v>Cola</v>
          </cell>
          <cell r="B293">
            <v>2.78519505184387</v>
          </cell>
          <cell r="C293">
            <v>6.0511575866467924</v>
          </cell>
          <cell r="D293">
            <v>14.386352423781684</v>
          </cell>
          <cell r="E293">
            <v>-0.42556375844247885</v>
          </cell>
          <cell r="F293">
            <v>3.7816272277780847</v>
          </cell>
          <cell r="G293">
            <v>3.8823550951906318</v>
          </cell>
          <cell r="H293">
            <v>0.80743333517896643</v>
          </cell>
          <cell r="I293">
            <v>-0.78259820041483308</v>
          </cell>
          <cell r="J293">
            <v>-0.57363303088721995</v>
          </cell>
          <cell r="K293">
            <v>-0.7728215847699611</v>
          </cell>
          <cell r="L293">
            <v>-0.1297544694407432</v>
          </cell>
          <cell r="M293">
            <v>1.8912338487826892</v>
          </cell>
          <cell r="N293">
            <v>0.37280064166509796</v>
          </cell>
          <cell r="O293">
            <v>0.71851636161133037</v>
          </cell>
          <cell r="P293">
            <v>-0.16737486187977535</v>
          </cell>
          <cell r="Q293">
            <v>0.68312821222991205</v>
          </cell>
          <cell r="R293">
            <v>1.5138040307240095</v>
          </cell>
          <cell r="S293">
            <v>-0.1802582067601386</v>
          </cell>
          <cell r="T293">
            <v>-0.45415382401457638</v>
          </cell>
          <cell r="U293">
            <v>-0.57850569685035869</v>
          </cell>
          <cell r="V293">
            <v>-0.29171703374279534</v>
          </cell>
          <cell r="W293">
            <v>0.52529988780421322</v>
          </cell>
          <cell r="X293">
            <v>0.8488348349588517</v>
          </cell>
          <cell r="Y293">
            <v>0.28791433363782759</v>
          </cell>
        </row>
        <row r="294">
          <cell r="A294" t="str">
            <v>Ananas frais</v>
          </cell>
          <cell r="B294">
            <v>-0.14907851901167402</v>
          </cell>
          <cell r="C294">
            <v>-9.7865326612796455E-2</v>
          </cell>
          <cell r="D294">
            <v>0.19923294164169469</v>
          </cell>
          <cell r="E294">
            <v>2.7853081679105385E-2</v>
          </cell>
          <cell r="F294">
            <v>0.4385819672901623</v>
          </cell>
          <cell r="G294">
            <v>0.81925252887296951</v>
          </cell>
          <cell r="H294">
            <v>1.0235524460348042</v>
          </cell>
          <cell r="I294">
            <v>0.96594784234816844</v>
          </cell>
          <cell r="J294">
            <v>-0.71817817171460518</v>
          </cell>
          <cell r="K294">
            <v>0.85036234256759946</v>
          </cell>
          <cell r="L294">
            <v>-0.12905814173119157</v>
          </cell>
          <cell r="M294">
            <v>0.15423536405659322</v>
          </cell>
          <cell r="N294">
            <v>5.5124004664730721</v>
          </cell>
          <cell r="O294">
            <v>-0.24466213057606057</v>
          </cell>
          <cell r="P294">
            <v>0.63380817973838388</v>
          </cell>
          <cell r="Q294">
            <v>8.6105170635481176E-2</v>
          </cell>
          <cell r="R294">
            <v>-5.5734789986346178E-2</v>
          </cell>
          <cell r="S294">
            <v>-6.1267687084717637E-2</v>
          </cell>
          <cell r="T294">
            <v>0.10629488452528824</v>
          </cell>
          <cell r="U294">
            <v>1.5182408354058596E-2</v>
          </cell>
          <cell r="V294">
            <v>-0.31352990850733109</v>
          </cell>
          <cell r="W294">
            <v>-0.18922528974642072</v>
          </cell>
          <cell r="X294">
            <v>-0.57737539312983865</v>
          </cell>
          <cell r="Y294">
            <v>-8.5896376288291942E-2</v>
          </cell>
        </row>
        <row r="295">
          <cell r="A295" t="str">
            <v>Banane</v>
          </cell>
          <cell r="B295">
            <v>0.38537063404070615</v>
          </cell>
          <cell r="C295">
            <v>0.78630684024493358</v>
          </cell>
          <cell r="D295">
            <v>0.36282363056956712</v>
          </cell>
          <cell r="E295">
            <v>-3.1511722444493628E-2</v>
          </cell>
          <cell r="F295">
            <v>0.63301845762901787</v>
          </cell>
          <cell r="G295">
            <v>0.7411708661143559</v>
          </cell>
          <cell r="H295">
            <v>0.76104256809364612</v>
          </cell>
          <cell r="I295">
            <v>0.95391950091792976</v>
          </cell>
          <cell r="J295">
            <v>-0.66759890731313343</v>
          </cell>
          <cell r="K295">
            <v>0.70656103710580442</v>
          </cell>
          <cell r="L295">
            <v>0.29777627829804598</v>
          </cell>
          <cell r="M295">
            <v>0.38590064037257554</v>
          </cell>
          <cell r="N295">
            <v>4.6667130392989673</v>
          </cell>
          <cell r="O295">
            <v>-0.21432508015858465</v>
          </cell>
          <cell r="P295">
            <v>3.6424048377376561E-2</v>
          </cell>
          <cell r="Q295">
            <v>-0.2356794060404378</v>
          </cell>
          <cell r="R295">
            <v>-0.30388869794486162</v>
          </cell>
          <cell r="S295">
            <v>-7.2882687865917894E-2</v>
          </cell>
          <cell r="T295">
            <v>5.9330406380415646E-2</v>
          </cell>
          <cell r="U295">
            <v>-2.782438563110512E-2</v>
          </cell>
          <cell r="V295">
            <v>7.0112416988739046E-2</v>
          </cell>
          <cell r="W295">
            <v>-6.3961992125826761E-2</v>
          </cell>
          <cell r="X295">
            <v>-3.8320449567819215E-2</v>
          </cell>
          <cell r="Y295">
            <v>9.1877006479540668E-2</v>
          </cell>
        </row>
        <row r="296">
          <cell r="A296" t="str">
            <v>Coton en masse</v>
          </cell>
          <cell r="B296">
            <v>-0.17711515929424448</v>
          </cell>
          <cell r="C296">
            <v>0.57386704196580762</v>
          </cell>
          <cell r="D296">
            <v>0.41669859098666095</v>
          </cell>
          <cell r="E296">
            <v>-0.58736902145642378</v>
          </cell>
          <cell r="F296">
            <v>1.4990630470979034</v>
          </cell>
          <cell r="G296">
            <v>1.4229915679193827</v>
          </cell>
          <cell r="H296">
            <v>1.3151220507122741</v>
          </cell>
          <cell r="I296">
            <v>-0.50105722379150353</v>
          </cell>
          <cell r="J296">
            <v>-0.8500074090431754</v>
          </cell>
          <cell r="K296">
            <v>0.83630351980141837</v>
          </cell>
          <cell r="L296">
            <v>-0.63452089368415954</v>
          </cell>
          <cell r="M296">
            <v>4.4861754064546204</v>
          </cell>
          <cell r="N296">
            <v>7.8969556552551712</v>
          </cell>
          <cell r="O296">
            <v>-0.55458497664951789</v>
          </cell>
          <cell r="P296">
            <v>-0.39942970052091531</v>
          </cell>
          <cell r="Q296">
            <v>-0.58807503026946217</v>
          </cell>
          <cell r="R296">
            <v>-8.1713177177029084E-2</v>
          </cell>
          <cell r="S296">
            <v>0.19996919297767568</v>
          </cell>
          <cell r="T296">
            <v>3.6284602252252576</v>
          </cell>
          <cell r="U296">
            <v>0.78590453731832621</v>
          </cell>
          <cell r="V296">
            <v>0.11473055340572524</v>
          </cell>
          <cell r="W296">
            <v>-1.7403707684500169E-2</v>
          </cell>
          <cell r="X296">
            <v>0.59890913471245311</v>
          </cell>
          <cell r="Y296">
            <v>1.5695828458121737</v>
          </cell>
        </row>
        <row r="297">
          <cell r="A297" t="str">
            <v>Oléagineux</v>
          </cell>
          <cell r="B297">
            <v>1.0760339172348932</v>
          </cell>
          <cell r="C297">
            <v>-0.91798875623843135</v>
          </cell>
          <cell r="D297">
            <v>-0.76773713834067947</v>
          </cell>
          <cell r="E297">
            <v>-0.1517267840918517</v>
          </cell>
          <cell r="F297">
            <v>-0.84166530072395584</v>
          </cell>
          <cell r="G297">
            <v>1.9614383574666405</v>
          </cell>
          <cell r="H297">
            <v>6.3035870817169881E-2</v>
          </cell>
          <cell r="I297">
            <v>-0.95860720838269842</v>
          </cell>
          <cell r="J297">
            <v>-0.88599752788992248</v>
          </cell>
          <cell r="K297">
            <v>0.3514586139886049</v>
          </cell>
          <cell r="L297">
            <v>4.2903629210460696</v>
          </cell>
          <cell r="M297">
            <v>49.205476628414267</v>
          </cell>
          <cell r="N297">
            <v>851.79382588235308</v>
          </cell>
          <cell r="O297">
            <v>14.625026014938067</v>
          </cell>
          <cell r="P297">
            <v>7.1069748383327838</v>
          </cell>
          <cell r="Q297">
            <v>6.4119277518100466</v>
          </cell>
          <cell r="R297">
            <v>2.9699328084750287</v>
          </cell>
          <cell r="S297">
            <v>-0.46488040139148312</v>
          </cell>
          <cell r="T297">
            <v>-0.79099426508732884</v>
          </cell>
          <cell r="U297">
            <v>-0.91716382859751688</v>
          </cell>
          <cell r="V297">
            <v>-0.95665799398890705</v>
          </cell>
          <cell r="W297">
            <v>-0.60860580820647103</v>
          </cell>
          <cell r="X297">
            <v>0.18192613811359237</v>
          </cell>
          <cell r="Y297">
            <v>2.6400580661687378</v>
          </cell>
        </row>
        <row r="298">
          <cell r="A298" t="str">
            <v>Graines d'oléagineux</v>
          </cell>
          <cell r="B298">
            <v>-0.95053953070339237</v>
          </cell>
          <cell r="C298">
            <v>-0.95340458943170603</v>
          </cell>
          <cell r="D298" t="str">
            <v/>
          </cell>
          <cell r="E298">
            <v>-0.76414705608203526</v>
          </cell>
          <cell r="F298">
            <v>-0.78481125073487668</v>
          </cell>
          <cell r="G298">
            <v>22.450691852607648</v>
          </cell>
          <cell r="H298">
            <v>47.024313848399778</v>
          </cell>
          <cell r="I298">
            <v>13.187201533223524</v>
          </cell>
          <cell r="J298">
            <v>109.88375350140056</v>
          </cell>
          <cell r="K298">
            <v>0.78576798522404889</v>
          </cell>
          <cell r="L298">
            <v>-1.1109088385369281E-2</v>
          </cell>
          <cell r="M298">
            <v>1.0415191609230807</v>
          </cell>
          <cell r="N298">
            <v>0.37772581711316855</v>
          </cell>
          <cell r="O298">
            <v>-0.89687997104107509</v>
          </cell>
          <cell r="P298">
            <v>-0.57845344825092471</v>
          </cell>
          <cell r="Q298">
            <v>-0.99434312475740438</v>
          </cell>
          <cell r="R298">
            <v>-0.80292840163160717</v>
          </cell>
          <cell r="S298">
            <v>-0.2718016190379825</v>
          </cell>
          <cell r="T298">
            <v>-0.87408000508254813</v>
          </cell>
          <cell r="U298">
            <v>13.558453054726908</v>
          </cell>
          <cell r="V298">
            <v>11.189121753329927</v>
          </cell>
          <cell r="W298">
            <v>-0.81500688061317861</v>
          </cell>
          <cell r="X298">
            <v>0.35445540552181654</v>
          </cell>
          <cell r="Y298">
            <v>-0.75292279246360372</v>
          </cell>
        </row>
        <row r="299">
          <cell r="A299" t="str">
            <v>Caoutchouc</v>
          </cell>
          <cell r="B299">
            <v>-8.2850697770817883E-2</v>
          </cell>
          <cell r="C299">
            <v>0.63639311060000359</v>
          </cell>
          <cell r="D299">
            <v>1.3491677049476305</v>
          </cell>
          <cell r="E299">
            <v>-0.35920045644123288</v>
          </cell>
          <cell r="F299">
            <v>3.0842382931846419</v>
          </cell>
          <cell r="G299">
            <v>1.7183635036505485</v>
          </cell>
          <cell r="H299">
            <v>1.178900204363531</v>
          </cell>
          <cell r="I299">
            <v>1.1401909893453541</v>
          </cell>
          <cell r="J299">
            <v>-0.14627736672229474</v>
          </cell>
          <cell r="K299">
            <v>1.79254264584777</v>
          </cell>
          <cell r="L299">
            <v>0.10265904282659544</v>
          </cell>
          <cell r="M299">
            <v>0.20957033580315487</v>
          </cell>
          <cell r="N299">
            <v>1.4290591280303819</v>
          </cell>
          <cell r="O299">
            <v>-0.42657700349734085</v>
          </cell>
          <cell r="P299">
            <v>0.60786403874464612</v>
          </cell>
          <cell r="Q299">
            <v>-0.18408794808661344</v>
          </cell>
          <cell r="R299">
            <v>-9.9681011653031115E-2</v>
          </cell>
          <cell r="S299">
            <v>0.25811965429509542</v>
          </cell>
          <cell r="T299">
            <v>1.4617330009937701E-2</v>
          </cell>
          <cell r="U299">
            <v>0.11059559981730915</v>
          </cell>
          <cell r="V299">
            <v>-0.11228087106541995</v>
          </cell>
          <cell r="W299">
            <v>-0.23003720940148631</v>
          </cell>
          <cell r="X299">
            <v>-0.32849989075074904</v>
          </cell>
          <cell r="Y299">
            <v>-0.31914973025600224</v>
          </cell>
        </row>
        <row r="300">
          <cell r="A300" t="str">
            <v>Sucre</v>
          </cell>
          <cell r="B300">
            <v>6.4511010602135155E-3</v>
          </cell>
          <cell r="C300">
            <v>9146.5417840375576</v>
          </cell>
          <cell r="D300">
            <v>1462.5168879922815</v>
          </cell>
          <cell r="E300">
            <v>16.240127834420964</v>
          </cell>
          <cell r="F300">
            <v>0.11026282780966246</v>
          </cell>
          <cell r="G300">
            <v>-0.94129307116758421</v>
          </cell>
          <cell r="H300">
            <v>1.007139398873758</v>
          </cell>
          <cell r="I300">
            <v>1.2856954277784038</v>
          </cell>
          <cell r="J300">
            <v>-0.98934129022426043</v>
          </cell>
          <cell r="K300">
            <v>2.7328692954294369</v>
          </cell>
          <cell r="L300">
            <v>-3.2607912049372301E-2</v>
          </cell>
          <cell r="M300">
            <v>-0.99860640836167525</v>
          </cell>
          <cell r="N300">
            <v>162.3271818181818</v>
          </cell>
          <cell r="O300">
            <v>3.5349774108948573</v>
          </cell>
          <cell r="P300">
            <v>1.3602859511823606E-2</v>
          </cell>
          <cell r="Q300">
            <v>56.35542542706964</v>
          </cell>
          <cell r="R300">
            <v>-0.10597830261510766</v>
          </cell>
          <cell r="S300">
            <v>1.0509849244951379</v>
          </cell>
          <cell r="T300">
            <v>0.99939235172117868</v>
          </cell>
          <cell r="U300">
            <v>-0.64755484301598987</v>
          </cell>
          <cell r="V300">
            <v>-0.99931281842898634</v>
          </cell>
          <cell r="W300">
            <v>-0.71341384882383641</v>
          </cell>
          <cell r="X300">
            <v>-0.45623503084368811</v>
          </cell>
          <cell r="Y300">
            <v>4.9260385056108635E-2</v>
          </cell>
        </row>
        <row r="301">
          <cell r="A301" t="str">
            <v>Tabac</v>
          </cell>
          <cell r="B301" t="str">
            <v/>
          </cell>
          <cell r="C301">
            <v>181.40516571428572</v>
          </cell>
          <cell r="D301">
            <v>405.64891228070172</v>
          </cell>
          <cell r="E301">
            <v>33.683349089272987</v>
          </cell>
          <cell r="F301">
            <v>54.966968152866237</v>
          </cell>
          <cell r="G301">
            <v>1.1879533236276765</v>
          </cell>
          <cell r="H301">
            <v>2.2649309222070726</v>
          </cell>
          <cell r="I301">
            <v>0.76946053120751068</v>
          </cell>
          <cell r="J301">
            <v>-0.85526874701114641</v>
          </cell>
          <cell r="K301">
            <v>18.735905819134793</v>
          </cell>
          <cell r="L301">
            <v>-0.31514302759985291</v>
          </cell>
          <cell r="M301">
            <v>1.4246191915780457</v>
          </cell>
          <cell r="N301">
            <v>13.288478671437714</v>
          </cell>
          <cell r="O301">
            <v>-0.75444783379125113</v>
          </cell>
          <cell r="P301">
            <v>1.893051434875594</v>
          </cell>
          <cell r="Q301">
            <v>-0.72663230603407691</v>
          </cell>
          <cell r="R301">
            <v>-0.41126457583183584</v>
          </cell>
          <cell r="S301">
            <v>-0.53520196679815002</v>
          </cell>
          <cell r="T301">
            <v>-0.14083075732219763</v>
          </cell>
          <cell r="U301">
            <v>2.171519751774023</v>
          </cell>
          <cell r="V301">
            <v>0.42394196860814426</v>
          </cell>
          <cell r="W301">
            <v>0.5732583032977745</v>
          </cell>
          <cell r="X301">
            <v>-0.45646701884012275</v>
          </cell>
          <cell r="Y301">
            <v>0.1000128374211926</v>
          </cell>
        </row>
        <row r="302">
          <cell r="A302" t="str">
            <v>Coco</v>
          </cell>
          <cell r="B302">
            <v>-8.6955922781321582E-2</v>
          </cell>
          <cell r="C302">
            <v>-5.5207666932208577E-2</v>
          </cell>
          <cell r="D302">
            <v>-0.10212582764421507</v>
          </cell>
          <cell r="E302">
            <v>-1.4729178622328254E-2</v>
          </cell>
          <cell r="F302">
            <v>1.2171916716689477</v>
          </cell>
          <cell r="G302">
            <v>1.3072279041598724</v>
          </cell>
          <cell r="H302">
            <v>1.9236708951855936</v>
          </cell>
          <cell r="I302">
            <v>0.93988337575447645</v>
          </cell>
          <cell r="J302">
            <v>-0.9126792000252324</v>
          </cell>
          <cell r="K302">
            <v>0.33318954011362423</v>
          </cell>
          <cell r="L302">
            <v>-0.24925304107974022</v>
          </cell>
          <cell r="M302">
            <v>0.42734098855431157</v>
          </cell>
          <cell r="N302">
            <v>12.932060851571633</v>
          </cell>
          <cell r="O302">
            <v>-0.21852045441061674</v>
          </cell>
          <cell r="P302">
            <v>0.51175302766275865</v>
          </cell>
          <cell r="Q302">
            <v>5.0798182929000735E-2</v>
          </cell>
          <cell r="R302">
            <v>0.35283171694897919</v>
          </cell>
          <cell r="S302">
            <v>0.17844853517940518</v>
          </cell>
          <cell r="T302">
            <v>0.4929354138615889</v>
          </cell>
          <cell r="U302">
            <v>-4.8167220836344726E-2</v>
          </cell>
          <cell r="V302">
            <v>-0.12806805120243148</v>
          </cell>
          <cell r="W302">
            <v>7.4351838724587838E-2</v>
          </cell>
          <cell r="X302">
            <v>-0.13960028025653182</v>
          </cell>
          <cell r="Y302">
            <v>1.3328308270923461E-2</v>
          </cell>
        </row>
        <row r="303">
          <cell r="A303" t="str">
            <v>Autres</v>
          </cell>
          <cell r="B303">
            <v>4.5127363516715535E-2</v>
          </cell>
          <cell r="C303">
            <v>-3.2020041126819887E-2</v>
          </cell>
          <cell r="D303">
            <v>-0.10630698776071335</v>
          </cell>
          <cell r="E303">
            <v>-5.3412152512748667E-2</v>
          </cell>
          <cell r="F303">
            <v>0.73423145811838864</v>
          </cell>
          <cell r="G303">
            <v>1.5730472021480217</v>
          </cell>
          <cell r="H303">
            <v>2.162105696468656</v>
          </cell>
          <cell r="I303">
            <v>1.6134869970144505</v>
          </cell>
          <cell r="J303">
            <v>-0.58418622317044622</v>
          </cell>
          <cell r="K303">
            <v>9.2914046140492035E-2</v>
          </cell>
          <cell r="L303">
            <v>-0.30219950476722057</v>
          </cell>
          <cell r="M303">
            <v>0.1143672793406687</v>
          </cell>
          <cell r="N303">
            <v>1.7151396790446194</v>
          </cell>
          <cell r="O303">
            <v>-0.16987170847178523</v>
          </cell>
          <cell r="P303">
            <v>0.44167811954003833</v>
          </cell>
          <cell r="Q303">
            <v>6.012539695954966E-2</v>
          </cell>
          <cell r="R303">
            <v>0.2233680334655459</v>
          </cell>
          <cell r="S303">
            <v>8.9649541342065708E-2</v>
          </cell>
          <cell r="T303">
            <v>0.42805244342153981</v>
          </cell>
          <cell r="U303">
            <v>1.2957559950410591E-2</v>
          </cell>
          <cell r="V303">
            <v>-5.5646043368323017E-2</v>
          </cell>
          <cell r="W303">
            <v>0.15576073741230601</v>
          </cell>
          <cell r="X303">
            <v>4.5351698092692017E-2</v>
          </cell>
          <cell r="Y303">
            <v>-6.9324261641670271E-2</v>
          </cell>
        </row>
        <row r="304"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 t="str">
            <v/>
          </cell>
        </row>
        <row r="305">
          <cell r="A305" t="str">
            <v>BOIS</v>
          </cell>
          <cell r="B305">
            <v>1.1430886530658046E-2</v>
          </cell>
          <cell r="C305">
            <v>0.54586634063942463</v>
          </cell>
          <cell r="D305">
            <v>1.1592733024019419</v>
          </cell>
          <cell r="E305">
            <v>-0.2800742869218944</v>
          </cell>
          <cell r="F305">
            <v>2.5801935433048424</v>
          </cell>
          <cell r="G305">
            <v>2.4323278543429123</v>
          </cell>
          <cell r="H305">
            <v>1.3955347742781625</v>
          </cell>
          <cell r="I305">
            <v>0.64583775015163103</v>
          </cell>
          <cell r="J305">
            <v>0.25180268026803532</v>
          </cell>
          <cell r="K305">
            <v>0.36031431766461175</v>
          </cell>
          <cell r="L305">
            <v>-0.23895481638059113</v>
          </cell>
          <cell r="M305">
            <v>-7.6705727172043714E-2</v>
          </cell>
          <cell r="N305">
            <v>0.20553157426801572</v>
          </cell>
          <cell r="O305">
            <v>-0.43283914729153516</v>
          </cell>
          <cell r="P305">
            <v>-0.13170703933123429</v>
          </cell>
          <cell r="Q305">
            <v>-0.23674414320700699</v>
          </cell>
          <cell r="R305">
            <v>-0.36346671029023725</v>
          </cell>
          <cell r="S305">
            <v>4.7930152414057625E-2</v>
          </cell>
          <cell r="T305">
            <v>0.27403217080119768</v>
          </cell>
          <cell r="U305">
            <v>0.11519004748288175</v>
          </cell>
          <cell r="V305">
            <v>0.43307577239295769</v>
          </cell>
          <cell r="W305">
            <v>7.6116587378987521E-2</v>
          </cell>
          <cell r="X305">
            <v>8.5448302449022018E-2</v>
          </cell>
          <cell r="Y305">
            <v>5.3206207874222144E-2</v>
          </cell>
        </row>
        <row r="306">
          <cell r="A306" t="str">
            <v>Bois en grumes</v>
          </cell>
          <cell r="B306">
            <v>-0.19402974198180312</v>
          </cell>
          <cell r="C306">
            <v>1.2052465071286047</v>
          </cell>
          <cell r="D306">
            <v>8.5441631133712708</v>
          </cell>
          <cell r="E306">
            <v>-0.13820115507720776</v>
          </cell>
          <cell r="F306">
            <v>10.102495029052331</v>
          </cell>
          <cell r="G306">
            <v>3.514561000581204</v>
          </cell>
          <cell r="H306">
            <v>0.78745228438186565</v>
          </cell>
          <cell r="I306">
            <v>-3.4279794006046305E-2</v>
          </cell>
          <cell r="J306">
            <v>-9.4221755261039708E-2</v>
          </cell>
          <cell r="K306">
            <v>7.1454345772006045E-2</v>
          </cell>
          <cell r="L306">
            <v>-0.54638282974857078</v>
          </cell>
          <cell r="M306">
            <v>0.23173751062297088</v>
          </cell>
          <cell r="N306">
            <v>0.57757841333262294</v>
          </cell>
          <cell r="O306">
            <v>-0.74918689240132008</v>
          </cell>
          <cell r="P306">
            <v>0.42269621972016136</v>
          </cell>
          <cell r="Q306">
            <v>-0.19672990267476809</v>
          </cell>
          <cell r="R306">
            <v>-0.7045153898101999</v>
          </cell>
          <cell r="S306">
            <v>-0.23629877120150211</v>
          </cell>
          <cell r="T306">
            <v>-0.56156606952594434</v>
          </cell>
          <cell r="U306">
            <v>-0.61181549306120298</v>
          </cell>
          <cell r="V306">
            <v>-0.27455001442488258</v>
          </cell>
          <cell r="W306">
            <v>-0.5407438183224812</v>
          </cell>
          <cell r="X306">
            <v>0.31654454680712152</v>
          </cell>
          <cell r="Y306">
            <v>-0.38307229845970958</v>
          </cell>
        </row>
        <row r="307">
          <cell r="A307" t="str">
            <v>Bois transformé</v>
          </cell>
          <cell r="B307">
            <v>2.843415393592319E-2</v>
          </cell>
          <cell r="C307">
            <v>0.47414568226363984</v>
          </cell>
          <cell r="D307">
            <v>0.87010424315805901</v>
          </cell>
          <cell r="E307">
            <v>-0.30410136068448357</v>
          </cell>
          <cell r="F307">
            <v>2.092331497271041</v>
          </cell>
          <cell r="G307">
            <v>2.256233287299461</v>
          </cell>
          <cell r="H307">
            <v>1.5170532568202932</v>
          </cell>
          <cell r="I307">
            <v>0.78847883200907676</v>
          </cell>
          <cell r="J307">
            <v>0.33237532320590657</v>
          </cell>
          <cell r="K307">
            <v>0.42547903330948444</v>
          </cell>
          <cell r="L307">
            <v>-0.19532681370746852</v>
          </cell>
          <cell r="M307">
            <v>-0.11163611547697516</v>
          </cell>
          <cell r="N307">
            <v>0.14663720640308275</v>
          </cell>
          <cell r="O307">
            <v>-0.37919742420744484</v>
          </cell>
          <cell r="P307">
            <v>-0.17605949008004973</v>
          </cell>
          <cell r="Q307">
            <v>-0.24302718591102879</v>
          </cell>
          <cell r="R307">
            <v>-0.28918918204005806</v>
          </cell>
          <cell r="S307">
            <v>6.7401811892709329E-2</v>
          </cell>
          <cell r="T307">
            <v>0.38945871305865531</v>
          </cell>
          <cell r="U307">
            <v>0.23632639404632694</v>
          </cell>
          <cell r="V307">
            <v>0.49714146994757291</v>
          </cell>
          <cell r="W307">
            <v>0.10635208665614271</v>
          </cell>
          <cell r="X307">
            <v>7.5375285439069684E-2</v>
          </cell>
          <cell r="Y307">
            <v>7.603093663620486E-2</v>
          </cell>
        </row>
        <row r="308"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 t="str">
            <v/>
          </cell>
        </row>
        <row r="309">
          <cell r="A309" t="str">
            <v>CONSERVES ET PREPARATIONS ALIMENTAIRES</v>
          </cell>
          <cell r="B309">
            <v>-8.5002760830884982E-2</v>
          </cell>
          <cell r="C309">
            <v>-0.12317960760506885</v>
          </cell>
          <cell r="D309">
            <v>-0.25445313877975051</v>
          </cell>
          <cell r="E309">
            <v>-0.19749260934573565</v>
          </cell>
          <cell r="F309">
            <v>1.1306966566321139</v>
          </cell>
          <cell r="G309">
            <v>1.2985087261041439</v>
          </cell>
          <cell r="H309">
            <v>2.0400190065668924</v>
          </cell>
          <cell r="I309">
            <v>0.8039441942548351</v>
          </cell>
          <cell r="J309">
            <v>-0.33904012596641497</v>
          </cell>
          <cell r="K309">
            <v>7.588757445586336E-2</v>
          </cell>
          <cell r="L309">
            <v>-6.4901026002872508E-2</v>
          </cell>
          <cell r="M309">
            <v>1.9495811600776705</v>
          </cell>
          <cell r="N309">
            <v>1.5931724803602401</v>
          </cell>
          <cell r="O309">
            <v>9.1664867365591318E-2</v>
          </cell>
          <cell r="P309">
            <v>1.0603063456094963E-2</v>
          </cell>
          <cell r="Q309">
            <v>-0.47946332411698622</v>
          </cell>
          <cell r="R309">
            <v>-0.154031525382339</v>
          </cell>
          <cell r="S309">
            <v>6.6837192633219633E-2</v>
          </cell>
          <cell r="T309">
            <v>0.58139349384771655</v>
          </cell>
          <cell r="U309">
            <v>6.4366721642180824E-2</v>
          </cell>
          <cell r="V309">
            <v>0.15328382529105644</v>
          </cell>
          <cell r="W309">
            <v>0.64855830617703458</v>
          </cell>
          <cell r="X309">
            <v>7.7429811037466933E-2</v>
          </cell>
          <cell r="Y309">
            <v>0.12291957291465172</v>
          </cell>
        </row>
        <row r="310">
          <cell r="A310" t="str">
            <v>Cacao transformé</v>
          </cell>
          <cell r="B310">
            <v>-0.21118946212532563</v>
          </cell>
          <cell r="C310">
            <v>-0.24269809908760953</v>
          </cell>
          <cell r="D310">
            <v>-0.11192139180754879</v>
          </cell>
          <cell r="E310">
            <v>-0.19975175238841925</v>
          </cell>
          <cell r="F310">
            <v>0.76478119541438927</v>
          </cell>
          <cell r="G310">
            <v>1.0060800980399582</v>
          </cell>
          <cell r="H310">
            <v>1.2131832921746164</v>
          </cell>
          <cell r="I310">
            <v>1.7618328726425867</v>
          </cell>
          <cell r="J310">
            <v>0.37853605843929183</v>
          </cell>
          <cell r="K310">
            <v>0.36149163953719476</v>
          </cell>
          <cell r="L310">
            <v>4.5753341503515843E-2</v>
          </cell>
          <cell r="M310">
            <v>0.29972159675424392</v>
          </cell>
          <cell r="N310">
            <v>0.10711929707324774</v>
          </cell>
          <cell r="O310">
            <v>-0.21064141383012447</v>
          </cell>
          <cell r="P310">
            <v>0.13159456388415114</v>
          </cell>
          <cell r="Q310">
            <v>-7.4720724175040276E-3</v>
          </cell>
          <cell r="R310">
            <v>0.1563038235075227</v>
          </cell>
          <cell r="S310">
            <v>0.36057203180979092</v>
          </cell>
          <cell r="T310">
            <v>0.21561849756646523</v>
          </cell>
          <cell r="U310">
            <v>0.29366576644914577</v>
          </cell>
          <cell r="V310">
            <v>0.45900652138970299</v>
          </cell>
          <cell r="W310">
            <v>0.80159200052711643</v>
          </cell>
          <cell r="X310">
            <v>0.51050040231707206</v>
          </cell>
          <cell r="Y310">
            <v>0.39639997984037523</v>
          </cell>
        </row>
        <row r="311">
          <cell r="A311" t="str">
            <v>Café transformé</v>
          </cell>
          <cell r="B311">
            <v>8.8079408759783817E-2</v>
          </cell>
          <cell r="C311">
            <v>-0.23235905985978555</v>
          </cell>
          <cell r="D311">
            <v>-0.4918876398969344</v>
          </cell>
          <cell r="E311">
            <v>-0.71298454922759524</v>
          </cell>
          <cell r="F311">
            <v>-5.1524759173775081E-2</v>
          </cell>
          <cell r="G311">
            <v>1.7716339765703939</v>
          </cell>
          <cell r="H311">
            <v>5.7899431681571105</v>
          </cell>
          <cell r="I311">
            <v>2.0762710314887758</v>
          </cell>
          <cell r="J311">
            <v>-0.92754858501511872</v>
          </cell>
          <cell r="K311">
            <v>-0.89620081456573031</v>
          </cell>
          <cell r="L311">
            <v>-0.46755260944241017</v>
          </cell>
          <cell r="M311">
            <v>5.6412287120362334</v>
          </cell>
          <cell r="N311">
            <v>21.775340057996246</v>
          </cell>
          <cell r="O311">
            <v>9.1668045123933641</v>
          </cell>
          <cell r="P311">
            <v>-1.1031990292874605E-2</v>
          </cell>
          <cell r="Q311">
            <v>-0.73077887084096171</v>
          </cell>
          <cell r="R311">
            <v>-0.10145630937147299</v>
          </cell>
          <cell r="S311">
            <v>-2.9822869508644212E-2</v>
          </cell>
          <cell r="T311">
            <v>0.12170252377552204</v>
          </cell>
          <cell r="U311">
            <v>0.36332646109845212</v>
          </cell>
          <cell r="V311">
            <v>8.9194965661146819E-2</v>
          </cell>
          <cell r="W311">
            <v>4.182064937610086E-4</v>
          </cell>
          <cell r="X311">
            <v>0.19637207972553505</v>
          </cell>
          <cell r="Y311">
            <v>-0.11338407669566974</v>
          </cell>
        </row>
        <row r="312">
          <cell r="A312" t="str">
            <v>Conserves de thon</v>
          </cell>
          <cell r="B312">
            <v>0.37125226120871702</v>
          </cell>
          <cell r="C312">
            <v>-0.10114202326232702</v>
          </cell>
          <cell r="D312">
            <v>-0.56577665006272881</v>
          </cell>
          <cell r="E312">
            <v>-0.17866181780253454</v>
          </cell>
          <cell r="F312">
            <v>1.5978600170871919</v>
          </cell>
          <cell r="G312">
            <v>1.8147196662765341</v>
          </cell>
          <cell r="H312">
            <v>4.2396739522017537</v>
          </cell>
          <cell r="I312">
            <v>2.6843616499688241</v>
          </cell>
          <cell r="J312">
            <v>-0.6991063990631261</v>
          </cell>
          <cell r="K312">
            <v>-0.28509460563872546</v>
          </cell>
          <cell r="L312">
            <v>9.9464389772310868E-2</v>
          </cell>
          <cell r="M312">
            <v>4.9880274731264418</v>
          </cell>
          <cell r="N312">
            <v>9.9489865796615096</v>
          </cell>
          <cell r="O312">
            <v>0.86470309604412487</v>
          </cell>
          <cell r="P312">
            <v>-0.15390219025169272</v>
          </cell>
          <cell r="Q312">
            <v>-0.6144998126680643</v>
          </cell>
          <cell r="R312">
            <v>-0.37737107927199398</v>
          </cell>
          <cell r="S312">
            <v>0.33157627282851876</v>
          </cell>
          <cell r="T312">
            <v>1.4520217555412667</v>
          </cell>
          <cell r="U312">
            <v>-0.31635033902361809</v>
          </cell>
          <cell r="V312">
            <v>-0.28764288268068627</v>
          </cell>
          <cell r="W312">
            <v>0.63743026464479113</v>
          </cell>
          <cell r="X312">
            <v>-0.21760467166641462</v>
          </cell>
          <cell r="Y312">
            <v>-0.46198215150085342</v>
          </cell>
        </row>
        <row r="313">
          <cell r="A313" t="str">
            <v>Conserves d'ananas</v>
          </cell>
          <cell r="B313">
            <v>-0.20409265629345041</v>
          </cell>
          <cell r="C313">
            <v>-0.23467257323495694</v>
          </cell>
          <cell r="D313">
            <v>-0.65578422573235851</v>
          </cell>
          <cell r="E313">
            <v>-0.47814737038139221</v>
          </cell>
          <cell r="F313">
            <v>0.3305072410120522</v>
          </cell>
          <cell r="G313">
            <v>-0.33117526895913252</v>
          </cell>
          <cell r="H313">
            <v>1.1542020147591288</v>
          </cell>
          <cell r="I313">
            <v>-0.7517590256961949</v>
          </cell>
          <cell r="J313">
            <v>-0.6810677046698419</v>
          </cell>
          <cell r="K313">
            <v>0.42892087641967969</v>
          </cell>
          <cell r="L313">
            <v>-0.83814531120238955</v>
          </cell>
          <cell r="M313">
            <v>2.4594053726751932</v>
          </cell>
          <cell r="N313">
            <v>-6.5102886374117652E-3</v>
          </cell>
          <cell r="O313">
            <v>-0.86740787355106352</v>
          </cell>
          <cell r="P313">
            <v>-0.67798158468341674</v>
          </cell>
          <cell r="Q313">
            <v>-0.38434342054180104</v>
          </cell>
          <cell r="R313">
            <v>2.8420083856938176</v>
          </cell>
          <cell r="S313">
            <v>1.7932544083686288</v>
          </cell>
          <cell r="T313">
            <v>26.847725079310479</v>
          </cell>
          <cell r="U313">
            <v>1.9398554271564445</v>
          </cell>
          <cell r="V313">
            <v>-0.23916396995958134</v>
          </cell>
          <cell r="W313">
            <v>3.058955454949384</v>
          </cell>
          <cell r="X313">
            <v>0.71017408391262427</v>
          </cell>
          <cell r="Y313">
            <v>1.2498493583351515</v>
          </cell>
        </row>
        <row r="314">
          <cell r="A314" t="str">
            <v>Jus d'ananas</v>
          </cell>
          <cell r="B314">
            <v>-0.15557180851780361</v>
          </cell>
          <cell r="C314">
            <v>-0.30087392582311812</v>
          </cell>
          <cell r="D314">
            <v>-9.7195026931649164E-2</v>
          </cell>
          <cell r="E314">
            <v>-0.66836852369989153</v>
          </cell>
          <cell r="F314">
            <v>-8.5759356699561917E-2</v>
          </cell>
          <cell r="G314">
            <v>0.40928054271323733</v>
          </cell>
          <cell r="H314">
            <v>0.42029991206293227</v>
          </cell>
          <cell r="I314">
            <v>2.545750200975609</v>
          </cell>
          <cell r="J314">
            <v>-0.86470702632325414</v>
          </cell>
          <cell r="K314">
            <v>0.68852551131700701</v>
          </cell>
          <cell r="L314">
            <v>-0.24928250745849734</v>
          </cell>
          <cell r="M314">
            <v>0.75135693814289195</v>
          </cell>
          <cell r="N314">
            <v>19.094938108296759</v>
          </cell>
          <cell r="O314">
            <v>0.37224579051769702</v>
          </cell>
          <cell r="P314">
            <v>2.9161838141486438</v>
          </cell>
          <cell r="Q314">
            <v>-8.3374763363743054E-2</v>
          </cell>
          <cell r="R314">
            <v>1.0083731145042805</v>
          </cell>
          <cell r="S314">
            <v>0.28565708958256231</v>
          </cell>
          <cell r="T314">
            <v>-0.18485780331694446</v>
          </cell>
          <cell r="U314">
            <v>1.7477598492103152</v>
          </cell>
          <cell r="V314">
            <v>-0.25080135946663307</v>
          </cell>
          <cell r="W314">
            <v>1.9743698927306541E-2</v>
          </cell>
          <cell r="X314">
            <v>-0.70755911610543998</v>
          </cell>
          <cell r="Y314">
            <v>-0.18246484683392838</v>
          </cell>
        </row>
        <row r="315">
          <cell r="A315" t="str">
            <v>Poisson fumé</v>
          </cell>
          <cell r="B315">
            <v>2.1752966149242567</v>
          </cell>
          <cell r="C315">
            <v>18.7854388849955</v>
          </cell>
          <cell r="D315">
            <v>-0.30293964292935427</v>
          </cell>
          <cell r="E315">
            <v>-0.51016181098189661</v>
          </cell>
          <cell r="F315">
            <v>-0.77711858382144139</v>
          </cell>
          <cell r="G315">
            <v>-0.95254610711971521</v>
          </cell>
          <cell r="H315">
            <v>-0.7136812057055395</v>
          </cell>
          <cell r="I315">
            <v>-0.93906040886592523</v>
          </cell>
          <cell r="J315">
            <v>-0.72516628569163488</v>
          </cell>
          <cell r="K315">
            <v>0.82134674161073229</v>
          </cell>
          <cell r="L315">
            <v>-0.46471531063959692</v>
          </cell>
          <cell r="M315">
            <v>4.499708454810496</v>
          </cell>
          <cell r="N315">
            <v>2.3821802056130124</v>
          </cell>
          <cell r="O315">
            <v>-0.45988960098161324</v>
          </cell>
          <cell r="P315">
            <v>-0.44996897199668462</v>
          </cell>
          <cell r="Q315">
            <v>0.18442854113655649</v>
          </cell>
          <cell r="R315">
            <v>8.2485100247106757E-2</v>
          </cell>
          <cell r="S315">
            <v>0.41775160079432472</v>
          </cell>
          <cell r="T315">
            <v>-7.4284361765377227E-2</v>
          </cell>
          <cell r="U315">
            <v>-8.7980786875208605E-2</v>
          </cell>
          <cell r="V315">
            <v>0.33832219347891734</v>
          </cell>
          <cell r="W315">
            <v>1.1571509568934304</v>
          </cell>
          <cell r="X315">
            <v>1.3003208230602987</v>
          </cell>
          <cell r="Y315">
            <v>1.3440862135807983</v>
          </cell>
        </row>
        <row r="316">
          <cell r="A316" t="str">
            <v>Sucreries</v>
          </cell>
          <cell r="B316">
            <v>-0.1536238724057043</v>
          </cell>
          <cell r="C316">
            <v>-3.0208216506849239E-2</v>
          </cell>
          <cell r="D316">
            <v>-0.45479194344121665</v>
          </cell>
          <cell r="E316">
            <v>-0.50041226690002061</v>
          </cell>
          <cell r="F316">
            <v>0.3027809194500406</v>
          </cell>
          <cell r="G316">
            <v>0.43096971267099748</v>
          </cell>
          <cell r="H316">
            <v>0.962101251301958</v>
          </cell>
          <cell r="I316">
            <v>1.1351751894298432</v>
          </cell>
          <cell r="J316">
            <v>-0.5679217282561051</v>
          </cell>
          <cell r="K316">
            <v>-0.23627275027555139</v>
          </cell>
          <cell r="L316">
            <v>0.48890504404679214</v>
          </cell>
          <cell r="M316">
            <v>1.329522501972586</v>
          </cell>
          <cell r="N316">
            <v>3.9047389027060966</v>
          </cell>
          <cell r="O316">
            <v>0.76985912164486359</v>
          </cell>
          <cell r="P316">
            <v>0.23455901746771723</v>
          </cell>
          <cell r="Q316">
            <v>-3.0436955243474895E-2</v>
          </cell>
          <cell r="R316">
            <v>-0.32990381885327136</v>
          </cell>
          <cell r="S316">
            <v>0.60263250628373788</v>
          </cell>
          <cell r="T316">
            <v>0.33926752201058985</v>
          </cell>
          <cell r="U316">
            <v>0.69407455311630795</v>
          </cell>
          <cell r="V316">
            <v>2.0440482465436829</v>
          </cell>
          <cell r="W316">
            <v>0.32864294733242527</v>
          </cell>
          <cell r="X316">
            <v>0.65476957276898795</v>
          </cell>
          <cell r="Y316">
            <v>0.31887998927696048</v>
          </cell>
        </row>
        <row r="317">
          <cell r="A317" t="str">
            <v>Huile de palme</v>
          </cell>
          <cell r="B317">
            <v>-0.30388174719587613</v>
          </cell>
          <cell r="C317">
            <v>0.20492293087013658</v>
          </cell>
          <cell r="D317">
            <v>1.3457265844994728</v>
          </cell>
          <cell r="E317">
            <v>5.0174843384368062E-2</v>
          </cell>
          <cell r="F317">
            <v>4.7504584246734716</v>
          </cell>
          <cell r="G317">
            <v>1.0479460517551034</v>
          </cell>
          <cell r="H317">
            <v>4.4900417801346793E-2</v>
          </cell>
          <cell r="I317">
            <v>-0.63964665063174342</v>
          </cell>
          <cell r="J317">
            <v>-0.69373211059641737</v>
          </cell>
          <cell r="K317">
            <v>0.69942857205480458</v>
          </cell>
          <cell r="L317">
            <v>0.25356632510995381</v>
          </cell>
          <cell r="M317">
            <v>0.48282033308899375</v>
          </cell>
          <cell r="N317">
            <v>0.77910366306399204</v>
          </cell>
          <cell r="O317">
            <v>-0.31780284175155171</v>
          </cell>
          <cell r="P317">
            <v>2.4056035204919723E-2</v>
          </cell>
          <cell r="Q317">
            <v>-0.46381240610959951</v>
          </cell>
          <cell r="R317">
            <v>-5.868665107991422E-2</v>
          </cell>
          <cell r="S317">
            <v>-0.53988969403948817</v>
          </cell>
          <cell r="T317">
            <v>0.18513934433515988</v>
          </cell>
          <cell r="U317">
            <v>1.0867509177492614</v>
          </cell>
          <cell r="V317">
            <v>0.46629203244006079</v>
          </cell>
          <cell r="W317">
            <v>1.1656575070007902</v>
          </cell>
          <cell r="X317">
            <v>0.18745249823643118</v>
          </cell>
          <cell r="Y317">
            <v>0.12829328910078397</v>
          </cell>
        </row>
        <row r="318">
          <cell r="A318" t="str">
            <v>Huile de palmiste</v>
          </cell>
          <cell r="B318">
            <v>-0.8943804799625108</v>
          </cell>
          <cell r="C318">
            <v>-0.10348085415708197</v>
          </cell>
          <cell r="D318">
            <v>-0.15827381909559646</v>
          </cell>
          <cell r="E318">
            <v>-0.42160400059104031</v>
          </cell>
          <cell r="F318">
            <v>21.227186283462537</v>
          </cell>
          <cell r="G318">
            <v>1.318233039246492</v>
          </cell>
          <cell r="H318">
            <v>1.263017236913055</v>
          </cell>
          <cell r="I318">
            <v>1.7456664330357512</v>
          </cell>
          <cell r="J318">
            <v>-0.26051543388284049</v>
          </cell>
          <cell r="K318">
            <v>0.24259191196589613</v>
          </cell>
          <cell r="L318">
            <v>0.10818273138615742</v>
          </cell>
          <cell r="M318">
            <v>0.24515113099511376</v>
          </cell>
          <cell r="N318">
            <v>-0.86227619361769514</v>
          </cell>
          <cell r="O318">
            <v>1.4425647581104206E-2</v>
          </cell>
          <cell r="P318">
            <v>0.40975752571788582</v>
          </cell>
          <cell r="Q318">
            <v>-0.50091108940437867</v>
          </cell>
          <cell r="R318">
            <v>8.9546126495670091</v>
          </cell>
          <cell r="S318">
            <v>3.06268346586267E-2</v>
          </cell>
          <cell r="T318">
            <v>0.12130701076678219</v>
          </cell>
          <cell r="U318">
            <v>-0.96564807858048263</v>
          </cell>
          <cell r="V318">
            <v>0.3903835050760589</v>
          </cell>
          <cell r="W318">
            <v>0.59430865146121703</v>
          </cell>
          <cell r="X318">
            <v>-0.22798563259895954</v>
          </cell>
          <cell r="Y318">
            <v>19.781560316925646</v>
          </cell>
        </row>
        <row r="319">
          <cell r="A319" t="str">
            <v>Huile de coco</v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</row>
        <row r="320">
          <cell r="A320" t="str">
            <v>Autres</v>
          </cell>
          <cell r="B320">
            <v>-4.5227405328616799E-2</v>
          </cell>
          <cell r="C320">
            <v>-0.28392233069404293</v>
          </cell>
          <cell r="D320">
            <v>-0.4233464797350428</v>
          </cell>
          <cell r="E320">
            <v>-0.19046376441051349</v>
          </cell>
          <cell r="F320">
            <v>0.75352703464664694</v>
          </cell>
          <cell r="G320">
            <v>1.3838225964668691</v>
          </cell>
          <cell r="H320">
            <v>2.0226722473882561</v>
          </cell>
          <cell r="I320">
            <v>-6.0195101821446051E-2</v>
          </cell>
          <cell r="J320">
            <v>9.0845591359684175E-2</v>
          </cell>
          <cell r="K320">
            <v>0.49244604245539825</v>
          </cell>
          <cell r="L320">
            <v>-0.46478869240171528</v>
          </cell>
          <cell r="M320">
            <v>1.0644039446806857</v>
          </cell>
          <cell r="N320">
            <v>0.34829474598476895</v>
          </cell>
          <cell r="O320">
            <v>-0.2532196628467045</v>
          </cell>
          <cell r="P320">
            <v>0.24036583402712441</v>
          </cell>
          <cell r="Q320">
            <v>-0.44537233477952087</v>
          </cell>
          <cell r="R320">
            <v>-0.43083683932809302</v>
          </cell>
          <cell r="S320">
            <v>-0.39964575119666135</v>
          </cell>
          <cell r="T320">
            <v>3.4147320340289777E-2</v>
          </cell>
          <cell r="U320">
            <v>-0.30716653884243938</v>
          </cell>
          <cell r="V320">
            <v>0.15167699754396802</v>
          </cell>
          <cell r="W320">
            <v>0.23160915990987907</v>
          </cell>
          <cell r="X320">
            <v>0.15864000953401702</v>
          </cell>
          <cell r="Y320">
            <v>0.79770334157521505</v>
          </cell>
        </row>
        <row r="321"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 t="str">
            <v/>
          </cell>
          <cell r="Y321" t="str">
            <v/>
          </cell>
        </row>
        <row r="322">
          <cell r="A322" t="str">
            <v>AUTRES PRODUITS</v>
          </cell>
          <cell r="B322">
            <v>-0.21568574132269547</v>
          </cell>
          <cell r="C322">
            <v>-0.25053572699087823</v>
          </cell>
          <cell r="D322">
            <v>-0.21065757817160913</v>
          </cell>
          <cell r="E322">
            <v>-0.30883479244429113</v>
          </cell>
          <cell r="F322">
            <v>0.29035458115216684</v>
          </cell>
          <cell r="G322">
            <v>0.89536933899647297</v>
          </cell>
          <cell r="H322">
            <v>1.4783374916512289</v>
          </cell>
          <cell r="I322">
            <v>1.4100003766389997</v>
          </cell>
          <cell r="J322">
            <v>-0.31752038154941009</v>
          </cell>
          <cell r="K322">
            <v>-0.20166065903425323</v>
          </cell>
          <cell r="L322">
            <v>-7.4126065946202857E-2</v>
          </cell>
          <cell r="M322">
            <v>0.7674850205513688</v>
          </cell>
          <cell r="N322">
            <v>2.1146987493031455</v>
          </cell>
          <cell r="O322">
            <v>0.72553775671832432</v>
          </cell>
          <cell r="P322">
            <v>0.28924087039924773</v>
          </cell>
          <cell r="Q322">
            <v>-6.0323998298111081E-2</v>
          </cell>
          <cell r="R322">
            <v>0.13688206501817146</v>
          </cell>
          <cell r="S322">
            <v>0.10174626734713943</v>
          </cell>
          <cell r="T322">
            <v>0.17471183122012324</v>
          </cell>
          <cell r="U322">
            <v>0.13887482988367594</v>
          </cell>
          <cell r="V322">
            <v>-2.2760245024095127E-2</v>
          </cell>
          <cell r="W322">
            <v>0.11724156506018391</v>
          </cell>
          <cell r="X322">
            <v>-1.9266973857210101E-2</v>
          </cell>
          <cell r="Y322">
            <v>-0.21884072745935212</v>
          </cell>
        </row>
        <row r="323">
          <cell r="A323" t="str">
            <v xml:space="preserve">  Dont :</v>
          </cell>
        </row>
        <row r="324">
          <cell r="A324" t="str">
            <v>Electricité (f/kwatt)</v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>
            <v>-0.22635408245755861</v>
          </cell>
          <cell r="O324">
            <v>-0.27639187179910785</v>
          </cell>
          <cell r="P324">
            <v>0.37576250508336728</v>
          </cell>
          <cell r="Q324">
            <v>3.887525562372188</v>
          </cell>
          <cell r="R324">
            <v>1.3584117032392893</v>
          </cell>
          <cell r="S324">
            <v>0.63013698630136994</v>
          </cell>
          <cell r="T324">
            <v>1.5648832397280521</v>
          </cell>
          <cell r="U324">
            <v>2.3891213389121337</v>
          </cell>
          <cell r="V324">
            <v>0.21089942401417816</v>
          </cell>
          <cell r="W324">
            <v>-0.29887955182072834</v>
          </cell>
          <cell r="X324">
            <v>-9.0930044946410105E-2</v>
          </cell>
          <cell r="Y324">
            <v>-0.75851851851851848</v>
          </cell>
        </row>
        <row r="325">
          <cell r="A325" t="str">
            <v>Pétrole brut</v>
          </cell>
          <cell r="B325" t="str">
            <v/>
          </cell>
          <cell r="C325" t="str">
            <v/>
          </cell>
          <cell r="D325">
            <v>-1</v>
          </cell>
          <cell r="E325" t="str">
            <v/>
          </cell>
          <cell r="F325">
            <v>-1</v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>
            <v>-1</v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>
            <v>2.1952774808249087E-2</v>
          </cell>
          <cell r="R325">
            <v>0.98459977988716019</v>
          </cell>
          <cell r="S325">
            <v>-0.15478452592680769</v>
          </cell>
          <cell r="T325">
            <v>0.24355645500579737</v>
          </cell>
          <cell r="U325">
            <v>-0.33836435408669785</v>
          </cell>
          <cell r="V325">
            <v>-0.51968120811793761</v>
          </cell>
          <cell r="W325">
            <v>-0.33037873220779246</v>
          </cell>
          <cell r="X325">
            <v>-0.46390032444999296</v>
          </cell>
          <cell r="Y325">
            <v>-0.62888207737814328</v>
          </cell>
        </row>
        <row r="326">
          <cell r="A326" t="str">
            <v>Produits pétroliers</v>
          </cell>
          <cell r="B326">
            <v>-0.35063968331729245</v>
          </cell>
          <cell r="C326">
            <v>-0.41205096328663648</v>
          </cell>
          <cell r="D326">
            <v>-0.16054123148792643</v>
          </cell>
          <cell r="E326">
            <v>-0.14014778421126561</v>
          </cell>
          <cell r="F326">
            <v>0.17637362869593765</v>
          </cell>
          <cell r="G326">
            <v>0.64190614761679488</v>
          </cell>
          <cell r="H326">
            <v>1.1319830463343452</v>
          </cell>
          <cell r="I326">
            <v>0.660037862191168</v>
          </cell>
          <cell r="J326">
            <v>6.648887313695151E-2</v>
          </cell>
          <cell r="K326">
            <v>-0.22481501658299707</v>
          </cell>
          <cell r="L326">
            <v>-3.697248530954933E-2</v>
          </cell>
          <cell r="M326">
            <v>0.1490907275572928</v>
          </cell>
          <cell r="N326">
            <v>1.3096589658222122</v>
          </cell>
          <cell r="O326">
            <v>0.82664000509181412</v>
          </cell>
          <cell r="P326">
            <v>0.14376576361090176</v>
          </cell>
          <cell r="Q326">
            <v>0.21918306823186984</v>
          </cell>
          <cell r="R326">
            <v>-0.19509497815742538</v>
          </cell>
          <cell r="S326">
            <v>-7.7838385632845619E-2</v>
          </cell>
          <cell r="T326">
            <v>7.9711293100645397E-2</v>
          </cell>
          <cell r="U326">
            <v>0.10091325484061908</v>
          </cell>
          <cell r="V326">
            <v>-4.9985219259757074E-2</v>
          </cell>
          <cell r="W326">
            <v>-0.17745962543175564</v>
          </cell>
          <cell r="X326">
            <v>-0.12205580511381264</v>
          </cell>
          <cell r="Y326">
            <v>-0.18400495521240445</v>
          </cell>
        </row>
        <row r="327">
          <cell r="A327" t="str">
            <v>Ciment</v>
          </cell>
          <cell r="B327">
            <v>0.13480508073223119</v>
          </cell>
          <cell r="C327">
            <v>0.69357093650137602</v>
          </cell>
          <cell r="D327">
            <v>-0.40827399181748936</v>
          </cell>
          <cell r="E327">
            <v>-0.47261961062137359</v>
          </cell>
          <cell r="F327">
            <v>0.45156990738467062</v>
          </cell>
          <cell r="G327">
            <v>0.44657414349770286</v>
          </cell>
          <cell r="H327">
            <v>2.3169617559226312</v>
          </cell>
          <cell r="I327">
            <v>4.0208925616142466</v>
          </cell>
          <cell r="J327">
            <v>-0.58866045212935658</v>
          </cell>
          <cell r="K327">
            <v>-0.78320702937593123</v>
          </cell>
          <cell r="L327">
            <v>-0.22658196742230463</v>
          </cell>
          <cell r="M327">
            <v>1.4837629975296625</v>
          </cell>
          <cell r="N327">
            <v>1.7917647829755312</v>
          </cell>
          <cell r="O327">
            <v>3.8475745182383889</v>
          </cell>
          <cell r="P327">
            <v>0.37503407624722795</v>
          </cell>
          <cell r="Q327">
            <v>-0.64773248174932807</v>
          </cell>
          <cell r="R327">
            <v>-0.16430522831670513</v>
          </cell>
          <cell r="S327">
            <v>-1.5895407612029455E-2</v>
          </cell>
          <cell r="T327">
            <v>-1.2916632422861118E-2</v>
          </cell>
          <cell r="U327">
            <v>0.30122529535883391</v>
          </cell>
          <cell r="V327">
            <v>0.43177010603091981</v>
          </cell>
          <cell r="W327">
            <v>-6.3897103301168712E-2</v>
          </cell>
          <cell r="X327">
            <v>0.33792929742611277</v>
          </cell>
          <cell r="Y327">
            <v>6.90702981804312E-2</v>
          </cell>
        </row>
        <row r="328">
          <cell r="A328" t="str">
            <v>Tissus en coton</v>
          </cell>
          <cell r="B328">
            <v>-0.21870931802908677</v>
          </cell>
          <cell r="C328">
            <v>0.17308013038362979</v>
          </cell>
          <cell r="D328">
            <v>0.11972841491386577</v>
          </cell>
          <cell r="E328">
            <v>-0.44338117914641351</v>
          </cell>
          <cell r="F328">
            <v>0.51738770845852944</v>
          </cell>
          <cell r="G328">
            <v>0.70214941399871966</v>
          </cell>
          <cell r="H328">
            <v>1.1790297201112776</v>
          </cell>
          <cell r="I328">
            <v>1.2877980383529231</v>
          </cell>
          <cell r="J328">
            <v>-0.7427749030087939</v>
          </cell>
          <cell r="K328">
            <v>-0.21991040768583714</v>
          </cell>
          <cell r="L328">
            <v>-0.20661803939929557</v>
          </cell>
          <cell r="M328">
            <v>1.0540733428137434</v>
          </cell>
          <cell r="N328">
            <v>4.3230234100562734</v>
          </cell>
          <cell r="O328">
            <v>0.1556192378419452</v>
          </cell>
          <cell r="P328">
            <v>3.6619096837788634E-2</v>
          </cell>
          <cell r="Q328">
            <v>-0.41353139209500478</v>
          </cell>
          <cell r="R328">
            <v>-9.5622970687458508E-2</v>
          </cell>
          <cell r="S328">
            <v>0.55503758254853452</v>
          </cell>
          <cell r="T328">
            <v>0.16960325668757292</v>
          </cell>
          <cell r="U328">
            <v>0.31827496802639854</v>
          </cell>
          <cell r="V328">
            <v>0.3507616095615258</v>
          </cell>
          <cell r="W328">
            <v>-0.34725336979073074</v>
          </cell>
          <cell r="X328">
            <v>-7.4560128098688616E-2</v>
          </cell>
          <cell r="Y328">
            <v>1.986454818994221E-2</v>
          </cell>
        </row>
        <row r="329">
          <cell r="A329" t="str">
            <v xml:space="preserve">Plastiques </v>
          </cell>
          <cell r="B329">
            <v>-0.21279425404931107</v>
          </cell>
          <cell r="C329">
            <v>2.1474861215867058E-2</v>
          </cell>
          <cell r="D329">
            <v>-0.47182984172095888</v>
          </cell>
          <cell r="E329">
            <v>-0.65572775188982924</v>
          </cell>
          <cell r="F329">
            <v>1.0157478114479943</v>
          </cell>
          <cell r="G329">
            <v>1.7019898068651678</v>
          </cell>
          <cell r="H329">
            <v>2.7608423283812313</v>
          </cell>
          <cell r="I329">
            <v>6.896569220535091</v>
          </cell>
          <cell r="J329">
            <v>-0.65780140778756224</v>
          </cell>
          <cell r="K329">
            <v>-0.69971917049152554</v>
          </cell>
          <cell r="L329">
            <v>-0.16224319031383916</v>
          </cell>
          <cell r="M329">
            <v>1.111702798185132</v>
          </cell>
          <cell r="N329">
            <v>3.8080927824132491</v>
          </cell>
          <cell r="O329">
            <v>2.7181380996046132</v>
          </cell>
          <cell r="P329">
            <v>0.52487192299335761</v>
          </cell>
          <cell r="Q329">
            <v>-0.4869831406011712</v>
          </cell>
          <cell r="R329">
            <v>-4.3309425490161479E-2</v>
          </cell>
          <cell r="S329">
            <v>-5.0642865876347476E-2</v>
          </cell>
          <cell r="T329">
            <v>0.12934205440368651</v>
          </cell>
          <cell r="U329">
            <v>0.4003281393204805</v>
          </cell>
          <cell r="V329">
            <v>0.76989752528011013</v>
          </cell>
          <cell r="W329">
            <v>0.69257782345868391</v>
          </cell>
          <cell r="X329">
            <v>0.22382970245904743</v>
          </cell>
          <cell r="Y329">
            <v>-4.5261261347706583E-4</v>
          </cell>
        </row>
        <row r="330">
          <cell r="A330" t="str">
            <v>Engrais</v>
          </cell>
          <cell r="B330">
            <v>-0.68003813437334815</v>
          </cell>
          <cell r="C330">
            <v>-0.57170165035831089</v>
          </cell>
          <cell r="D330">
            <v>0.53331980205433482</v>
          </cell>
          <cell r="E330">
            <v>0.19467442526487355</v>
          </cell>
          <cell r="F330">
            <v>0.31388105312685277</v>
          </cell>
          <cell r="G330">
            <v>9.6465949707818961</v>
          </cell>
          <cell r="H330">
            <v>0.11017278610681713</v>
          </cell>
          <cell r="I330">
            <v>1.3935759520287618</v>
          </cell>
          <cell r="J330">
            <v>-0.49869910431138043</v>
          </cell>
          <cell r="K330">
            <v>0.36539086581306335</v>
          </cell>
          <cell r="L330">
            <v>1.3830352700322321</v>
          </cell>
          <cell r="M330">
            <v>0.59959697701555625</v>
          </cell>
          <cell r="N330">
            <v>3.1661845927272854</v>
          </cell>
          <cell r="O330">
            <v>0.58656533434665614</v>
          </cell>
          <cell r="P330">
            <v>-0.1646186309452049</v>
          </cell>
          <cell r="Q330">
            <v>-0.26719980743997707</v>
          </cell>
          <cell r="R330">
            <v>2.7816173901616144</v>
          </cell>
          <cell r="S330">
            <v>0.12136512757451179</v>
          </cell>
          <cell r="T330">
            <v>0.25438593171172608</v>
          </cell>
          <cell r="U330">
            <v>0.26086745476215323</v>
          </cell>
          <cell r="V330">
            <v>2.4381978211065913E-2</v>
          </cell>
          <cell r="W330">
            <v>1.2517550042564385</v>
          </cell>
          <cell r="X330">
            <v>0.12164765409508549</v>
          </cell>
          <cell r="Y330">
            <v>-9.1491884887916597E-2</v>
          </cell>
        </row>
        <row r="331">
          <cell r="A331" t="str">
            <v>Divers</v>
          </cell>
          <cell r="B331">
            <v>7.9636555036430856E-2</v>
          </cell>
          <cell r="C331">
            <v>-6.8016245604010095E-2</v>
          </cell>
          <cell r="D331">
            <v>-0.26568248005294426</v>
          </cell>
          <cell r="E331">
            <v>-0.53278783274626063</v>
          </cell>
          <cell r="F331">
            <v>0.28442774688147532</v>
          </cell>
          <cell r="G331">
            <v>1.1636812774490521</v>
          </cell>
          <cell r="H331">
            <v>1.9100377992653463</v>
          </cell>
          <cell r="I331">
            <v>2.5312319986641647</v>
          </cell>
          <cell r="J331">
            <v>-0.5708868266595899</v>
          </cell>
          <cell r="K331">
            <v>-1.1305985162766374E-2</v>
          </cell>
          <cell r="L331">
            <v>-0.10530095442075671</v>
          </cell>
          <cell r="M331">
            <v>0.94181172169607952</v>
          </cell>
          <cell r="N331">
            <v>3.2351545098974928</v>
          </cell>
          <cell r="O331">
            <v>7.8167944705684667E-2</v>
          </cell>
          <cell r="P331">
            <v>0.20271374606535431</v>
          </cell>
          <cell r="Q331">
            <v>-1.8012635773744679E-2</v>
          </cell>
          <cell r="R331">
            <v>0.46542451176499666</v>
          </cell>
          <cell r="S331">
            <v>0.46062495717501273</v>
          </cell>
          <cell r="T331">
            <v>0.29338962378353428</v>
          </cell>
          <cell r="U331">
            <v>0.20434055927125572</v>
          </cell>
          <cell r="V331">
            <v>-5.1548978708097049E-2</v>
          </cell>
          <cell r="W331">
            <v>0.39652603630871175</v>
          </cell>
          <cell r="X331">
            <v>0.11006809316176458</v>
          </cell>
          <cell r="Y331">
            <v>-0.2761003524390756</v>
          </cell>
        </row>
        <row r="332"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 t="str">
            <v/>
          </cell>
          <cell r="Y332" t="str">
            <v/>
          </cell>
        </row>
        <row r="333">
          <cell r="A333" t="str">
            <v>Total douane</v>
          </cell>
          <cell r="B333">
            <v>-7.3582386110442322E-2</v>
          </cell>
          <cell r="C333">
            <v>-4.6364261607561463E-2</v>
          </cell>
          <cell r="D333">
            <v>2.3482384592039551E-2</v>
          </cell>
          <cell r="E333">
            <v>-6.4020200427014951E-2</v>
          </cell>
          <cell r="F333">
            <v>0.97302799765585579</v>
          </cell>
          <cell r="G333">
            <v>1.2398161387030675</v>
          </cell>
          <cell r="H333">
            <v>1.5177545012413614</v>
          </cell>
          <cell r="I333">
            <v>0.82920757487148222</v>
          </cell>
          <cell r="J333">
            <v>6.3899895728972922E-2</v>
          </cell>
          <cell r="K333">
            <v>0.37635607634704726</v>
          </cell>
          <cell r="L333">
            <v>-0.14480500119205175</v>
          </cell>
          <cell r="M333">
            <v>0.38077013759968925</v>
          </cell>
          <cell r="N333">
            <v>0.71388993168644466</v>
          </cell>
          <cell r="O333">
            <v>0.12996664897303134</v>
          </cell>
          <cell r="P333">
            <v>0.10124009074870233</v>
          </cell>
          <cell r="Q333">
            <v>-9.407396446571048E-2</v>
          </cell>
          <cell r="R333">
            <v>3.9942978839462739E-2</v>
          </cell>
          <cell r="S333">
            <v>-4.361245157961624E-2</v>
          </cell>
          <cell r="T333">
            <v>0.38586693693068908</v>
          </cell>
          <cell r="U333">
            <v>0.18728167285434494</v>
          </cell>
          <cell r="V333">
            <v>9.1810122059199806E-2</v>
          </cell>
          <cell r="W333">
            <v>0.12768360452987104</v>
          </cell>
          <cell r="X333">
            <v>0.14297983190057684</v>
          </cell>
          <cell r="Y333">
            <v>-0.12593413330226055</v>
          </cell>
        </row>
        <row r="334">
          <cell r="A334" t="str">
            <v>Total hors électricité (valeur)</v>
          </cell>
          <cell r="B334">
            <v>-7.3582386110442322E-2</v>
          </cell>
          <cell r="C334">
            <v>-4.6364267506388002E-2</v>
          </cell>
          <cell r="D334">
            <v>2.3482391829349858E-2</v>
          </cell>
          <cell r="E334">
            <v>-6.4020200427014951E-2</v>
          </cell>
          <cell r="F334">
            <v>0.97302799765585579</v>
          </cell>
          <cell r="G334">
            <v>1.2398161525577152</v>
          </cell>
          <cell r="H334">
            <v>1.382538103256985</v>
          </cell>
          <cell r="I334">
            <v>0.82914587510419335</v>
          </cell>
          <cell r="J334">
            <v>6.3899895728972922E-2</v>
          </cell>
          <cell r="K334">
            <v>0.37635607634704726</v>
          </cell>
          <cell r="L334">
            <v>-9.627004935671557E-2</v>
          </cell>
          <cell r="M334">
            <v>0.40477582385527144</v>
          </cell>
          <cell r="N334">
            <v>0.68510539960593331</v>
          </cell>
          <cell r="O334">
            <v>0.11608677444817972</v>
          </cell>
          <cell r="P334">
            <v>0.15911686014595516</v>
          </cell>
          <cell r="Q334">
            <v>-0.10852330772987206</v>
          </cell>
          <cell r="R334">
            <v>5.7707014278021829E-2</v>
          </cell>
          <cell r="S334">
            <v>-3.1718628022958995E-2</v>
          </cell>
          <cell r="T334">
            <v>0.31666813232188118</v>
          </cell>
          <cell r="U334">
            <v>0.18594766026648002</v>
          </cell>
          <cell r="V334">
            <v>9.1810122059199806E-2</v>
          </cell>
          <cell r="W334">
            <v>0.12768360452987104</v>
          </cell>
          <cell r="X334">
            <v>1.949527164529119E-2</v>
          </cell>
          <cell r="Y334">
            <v>-4.4542197418964369E-2</v>
          </cell>
        </row>
        <row r="335">
          <cell r="A335" t="str">
            <v>Total exportations</v>
          </cell>
          <cell r="B335">
            <v>-7.3582386110442322E-2</v>
          </cell>
          <cell r="C335">
            <v>-4.6364267506388002E-2</v>
          </cell>
          <cell r="D335">
            <v>2.3482391829349858E-2</v>
          </cell>
          <cell r="E335">
            <v>-6.4020200427014951E-2</v>
          </cell>
          <cell r="F335">
            <v>0.97302799765585579</v>
          </cell>
          <cell r="G335">
            <v>1.2398161525577152</v>
          </cell>
          <cell r="H335">
            <v>1.382538103256985</v>
          </cell>
          <cell r="I335">
            <v>0.82914587510419335</v>
          </cell>
          <cell r="J335">
            <v>7.0534594577483123E-2</v>
          </cell>
          <cell r="K335">
            <v>0.39300582554669705</v>
          </cell>
          <cell r="L335">
            <v>-8.9000930464050554E-2</v>
          </cell>
          <cell r="M335">
            <v>0.40580180915535147</v>
          </cell>
          <cell r="N335">
            <v>0.67945657778668411</v>
          </cell>
          <cell r="O335">
            <v>0.11139571651691016</v>
          </cell>
          <cell r="P335">
            <v>0.16084553693969816</v>
          </cell>
          <cell r="Q335">
            <v>-0.10560690274844053</v>
          </cell>
          <cell r="R335">
            <v>6.1420422314747869E-2</v>
          </cell>
          <cell r="S335">
            <v>-2.6568088329164463E-2</v>
          </cell>
          <cell r="T335">
            <v>0.32847194493624565</v>
          </cell>
          <cell r="U335">
            <v>0.19473437198637877</v>
          </cell>
          <cell r="V335">
            <v>9.2565560184002305E-2</v>
          </cell>
          <cell r="W335">
            <v>0.12212467274893313</v>
          </cell>
          <cell r="X335">
            <v>1.7479149976859398E-2</v>
          </cell>
          <cell r="Y335">
            <v>-5.2619701979866762E-2</v>
          </cell>
        </row>
        <row r="336">
          <cell r="A336" t="str">
            <v>TOTAL HORS CAFE/CACAO</v>
          </cell>
          <cell r="B336">
            <v>-0.14928364886733125</v>
          </cell>
          <cell r="C336">
            <v>-7.6970798376397753E-2</v>
          </cell>
          <cell r="D336">
            <v>-2.8124338655723835E-2</v>
          </cell>
          <cell r="E336">
            <v>-0.26311049090916305</v>
          </cell>
          <cell r="F336">
            <v>0.8050761669226425</v>
          </cell>
          <cell r="G336">
            <v>1.246325427254829</v>
          </cell>
          <cell r="H336">
            <v>1.5353615459799288</v>
          </cell>
          <cell r="I336">
            <v>0.97940972293900486</v>
          </cell>
          <cell r="J336">
            <v>-0.3165602070591258</v>
          </cell>
          <cell r="K336">
            <v>0.18357373638008245</v>
          </cell>
          <cell r="L336">
            <v>-0.1104785155951955</v>
          </cell>
          <cell r="M336">
            <v>0.71831475147406842</v>
          </cell>
          <cell r="N336">
            <v>1.6563342382211577</v>
          </cell>
          <cell r="O336">
            <v>-1.4292587300672399E-2</v>
          </cell>
          <cell r="P336">
            <v>0.13238399928579025</v>
          </cell>
          <cell r="Q336">
            <v>-0.20982122292392813</v>
          </cell>
          <cell r="R336">
            <v>-3.3793190459439515E-2</v>
          </cell>
          <cell r="S336">
            <v>8.8777845267128397E-2</v>
          </cell>
          <cell r="T336">
            <v>0.33060823002107509</v>
          </cell>
          <cell r="U336">
            <v>0.1059587024859463</v>
          </cell>
          <cell r="V336">
            <v>3.5460268588523469E-2</v>
          </cell>
          <cell r="W336">
            <v>0.20609986929070967</v>
          </cell>
          <cell r="X336">
            <v>1.6588692710420849E-2</v>
          </cell>
          <cell r="Y336">
            <v>-9.2159924228304213E-2</v>
          </cell>
        </row>
        <row r="337">
          <cell r="A337" t="str">
            <v>TOTAL HORS PROD TRAD</v>
          </cell>
          <cell r="B337">
            <v>-0.14661384457162885</v>
          </cell>
          <cell r="C337">
            <v>-0.12364707357478311</v>
          </cell>
          <cell r="D337">
            <v>-7.8394641399926357E-2</v>
          </cell>
          <cell r="E337">
            <v>-0.25565501128927914</v>
          </cell>
          <cell r="F337">
            <v>0.69770302646279947</v>
          </cell>
          <cell r="G337">
            <v>1.1850465477742365</v>
          </cell>
          <cell r="H337">
            <v>1.5777254051899359</v>
          </cell>
          <cell r="I337">
            <v>1.059997442464895</v>
          </cell>
          <cell r="J337">
            <v>-0.25844395533565856</v>
          </cell>
          <cell r="K337">
            <v>0.11417692643597666</v>
          </cell>
          <cell r="L337">
            <v>-6.5050083068072251E-2</v>
          </cell>
          <cell r="M337">
            <v>0.70955037889691575</v>
          </cell>
          <cell r="N337">
            <v>1.5462142815642803</v>
          </cell>
          <cell r="O337">
            <v>0.11425744703485652</v>
          </cell>
          <cell r="P337">
            <v>0.14283350473464074</v>
          </cell>
          <cell r="Q337">
            <v>-0.20368499732491008</v>
          </cell>
          <cell r="R337">
            <v>-1.2045198281899427E-2</v>
          </cell>
          <cell r="S337">
            <v>8.3266580229799603E-2</v>
          </cell>
          <cell r="T337">
            <v>0.29848294874280867</v>
          </cell>
          <cell r="U337">
            <v>0.11178566749630536</v>
          </cell>
          <cell r="V337">
            <v>3.1464590323522668E-2</v>
          </cell>
          <cell r="W337">
            <v>0.229037165514417</v>
          </cell>
          <cell r="X337">
            <v>-1.3292195284035802E-2</v>
          </cell>
          <cell r="Y337">
            <v>-0.11367442936853744</v>
          </cell>
        </row>
        <row r="338">
          <cell r="A338" t="str">
            <v>TOTAL HORS PROD PETR</v>
          </cell>
          <cell r="B338">
            <v>-2.133639051204006E-3</v>
          </cell>
          <cell r="C338">
            <v>0.10139134645231196</v>
          </cell>
          <cell r="D338">
            <v>7.538642551962238E-2</v>
          </cell>
          <cell r="E338">
            <v>-5.3903598721927071E-2</v>
          </cell>
          <cell r="F338">
            <v>1.106720892976945</v>
          </cell>
          <cell r="G338">
            <v>1.3687802058293039</v>
          </cell>
          <cell r="H338">
            <v>1.4377033448967111</v>
          </cell>
          <cell r="I338">
            <v>0.84957008272927093</v>
          </cell>
          <cell r="J338">
            <v>6.3657287836558885E-2</v>
          </cell>
          <cell r="K338">
            <v>0.46623430546733258</v>
          </cell>
          <cell r="L338">
            <v>-0.10768836643316271</v>
          </cell>
          <cell r="M338">
            <v>0.43249202126121045</v>
          </cell>
          <cell r="N338">
            <v>0.62642393218279491</v>
          </cell>
          <cell r="O338">
            <v>5.9923165037708559E-2</v>
          </cell>
          <cell r="P338">
            <v>0.16230712536469949</v>
          </cell>
          <cell r="Q338">
            <v>-0.13701873882163196</v>
          </cell>
          <cell r="R338">
            <v>9.1437754190981435E-2</v>
          </cell>
          <cell r="S338">
            <v>-2.5436251101363383E-2</v>
          </cell>
          <cell r="T338">
            <v>0.36512695146539254</v>
          </cell>
          <cell r="U338">
            <v>0.19639372172982794</v>
          </cell>
          <cell r="V338">
            <v>0.10576265325749157</v>
          </cell>
          <cell r="W338">
            <v>0.16701483193114952</v>
          </cell>
          <cell r="X338">
            <v>4.2390836319938563E-2</v>
          </cell>
          <cell r="Y338">
            <v>-2.877715580088902E-2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 trim"/>
    </sheet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A-tab7"/>
    </sheetNames>
    <sheetDataSet>
      <sheetData sheetId="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OURS SERV T4 (2)"/>
      <sheetName val="encours DE fin decm en devises"/>
    </sheetNames>
    <sheetDataSet>
      <sheetData sheetId="0">
        <row r="21">
          <cell r="B21">
            <v>2849.9899034871491</v>
          </cell>
        </row>
        <row r="29">
          <cell r="B29">
            <v>1826.096122908742</v>
          </cell>
        </row>
      </sheetData>
      <sheetData sheetId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dat avril"/>
    </sheetNames>
    <sheetDataSet>
      <sheetData sheetId="0">
        <row r="2">
          <cell r="D2" t="str">
            <v>401.12</v>
          </cell>
        </row>
        <row r="52">
          <cell r="B52">
            <v>71269494049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S129"/>
  <sheetViews>
    <sheetView view="pageBreakPreview" topLeftCell="A4" zoomScale="90" zoomScaleNormal="90" zoomScaleSheetLayoutView="90" zoomScalePageLayoutView="117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C6" sqref="C6:O118"/>
    </sheetView>
  </sheetViews>
  <sheetFormatPr baseColWidth="10" defaultColWidth="9.1640625" defaultRowHeight="13"/>
  <cols>
    <col min="1" max="1" width="6.5" customWidth="1"/>
    <col min="2" max="2" width="36.6640625" customWidth="1"/>
    <col min="3" max="3" width="14.5" customWidth="1"/>
    <col min="4" max="4" width="15.1640625" customWidth="1"/>
    <col min="5" max="10" width="14.5" customWidth="1"/>
    <col min="11" max="11" width="16.33203125" customWidth="1"/>
    <col min="12" max="15" width="14.5" customWidth="1"/>
    <col min="16" max="16" width="35.1640625" customWidth="1"/>
    <col min="17" max="17" width="42" bestFit="1" customWidth="1"/>
    <col min="18" max="50" width="11.33203125" customWidth="1"/>
  </cols>
  <sheetData>
    <row r="1" spans="1:97" ht="19.5" customHeight="1">
      <c r="A1" s="1" t="s">
        <v>0</v>
      </c>
      <c r="B1" s="2"/>
      <c r="C1" s="326"/>
      <c r="D1" s="326"/>
      <c r="E1" s="326"/>
      <c r="F1" s="326"/>
      <c r="G1" s="326"/>
      <c r="H1" s="326">
        <f>H6-H28</f>
        <v>283.61252375108995</v>
      </c>
      <c r="I1" s="326"/>
      <c r="J1" s="326"/>
      <c r="K1" s="326"/>
      <c r="L1" s="326"/>
      <c r="M1" s="326"/>
      <c r="N1" s="326"/>
      <c r="O1" s="3"/>
    </row>
    <row r="2" spans="1:97" ht="19.5" customHeight="1">
      <c r="A2" s="1" t="s">
        <v>1</v>
      </c>
      <c r="B2" s="2"/>
      <c r="C2" s="4"/>
      <c r="D2" s="4"/>
      <c r="E2" s="4"/>
      <c r="F2" s="327"/>
      <c r="G2" s="4"/>
      <c r="H2" s="327"/>
      <c r="I2" s="4"/>
      <c r="J2" s="4"/>
      <c r="K2" s="4"/>
      <c r="L2" s="4"/>
      <c r="M2" s="4"/>
      <c r="N2" s="4"/>
      <c r="O2" s="4"/>
    </row>
    <row r="3" spans="1:97" ht="30.75" customHeight="1">
      <c r="A3" s="5" t="s">
        <v>2</v>
      </c>
      <c r="B3" s="506" t="s">
        <v>3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8"/>
      <c r="CS3" t="e">
        <f>CR3/CQ3-1</f>
        <v>#DIV/0!</v>
      </c>
    </row>
    <row r="4" spans="1:97" ht="17">
      <c r="A4" s="509"/>
      <c r="B4" s="510"/>
      <c r="C4" s="328" t="s">
        <v>664</v>
      </c>
      <c r="D4" s="328" t="s">
        <v>665</v>
      </c>
      <c r="E4" s="328" t="s">
        <v>666</v>
      </c>
      <c r="F4" s="328" t="s">
        <v>667</v>
      </c>
      <c r="G4" s="328" t="s">
        <v>668</v>
      </c>
      <c r="H4" s="328" t="s">
        <v>669</v>
      </c>
      <c r="I4" s="328" t="s">
        <v>670</v>
      </c>
      <c r="J4" s="328" t="s">
        <v>671</v>
      </c>
      <c r="K4" s="328" t="s">
        <v>672</v>
      </c>
      <c r="L4" s="328" t="s">
        <v>673</v>
      </c>
      <c r="M4" s="328" t="s">
        <v>674</v>
      </c>
      <c r="N4" s="328" t="s">
        <v>675</v>
      </c>
      <c r="O4" s="328" t="s">
        <v>676</v>
      </c>
    </row>
    <row r="5" spans="1:97" ht="33" customHeight="1">
      <c r="A5" s="7"/>
      <c r="B5" s="8" t="s">
        <v>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9"/>
      <c r="Q5" s="9"/>
    </row>
    <row r="6" spans="1:97" s="12" customFormat="1" ht="24.75" customHeight="1">
      <c r="A6" s="7" t="s">
        <v>6</v>
      </c>
      <c r="B6" s="10" t="s">
        <v>677</v>
      </c>
      <c r="C6" s="11">
        <v>119.92088757841668</v>
      </c>
      <c r="D6" s="11">
        <v>209.70252806351661</v>
      </c>
      <c r="E6" s="11">
        <v>167.72500482506666</v>
      </c>
      <c r="F6" s="11">
        <v>254.90828981966669</v>
      </c>
      <c r="G6" s="11">
        <v>254.46532885784998</v>
      </c>
      <c r="H6" s="11">
        <v>293.50589196342327</v>
      </c>
      <c r="I6" s="11">
        <v>215.27113434776678</v>
      </c>
      <c r="J6" s="11">
        <v>216.51266854441667</v>
      </c>
      <c r="K6" s="11">
        <v>282.90960635104994</v>
      </c>
      <c r="L6" s="11">
        <v>221.20572915611115</v>
      </c>
      <c r="M6" s="11">
        <v>221.38474083756108</v>
      </c>
      <c r="N6" s="11">
        <v>520.96388180615986</v>
      </c>
      <c r="O6" s="11">
        <v>2978.4756921510057</v>
      </c>
      <c r="P6" s="330">
        <f>+[13]DGID!N108+[13]TRESOR!M15+[13]DGD!M40+'[13]Tirages ress ext'!L15+'[13]ASSISTEXTER '!M23</f>
        <v>221384740837.56113</v>
      </c>
      <c r="Q6" s="9">
        <f>+O6-O26</f>
        <v>2847.8653718754499</v>
      </c>
      <c r="R6" s="9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97" ht="24.75" customHeight="1">
      <c r="A7" s="13" t="s">
        <v>8</v>
      </c>
      <c r="B7" s="14" t="s">
        <v>9</v>
      </c>
      <c r="C7" s="15">
        <v>105.02660102975001</v>
      </c>
      <c r="D7" s="15">
        <v>203.23452362984995</v>
      </c>
      <c r="E7" s="15">
        <v>161.5969056964</v>
      </c>
      <c r="F7" s="15">
        <v>223.10544552800002</v>
      </c>
      <c r="G7" s="15">
        <v>216.34278352084999</v>
      </c>
      <c r="H7" s="15">
        <v>252.77786328108994</v>
      </c>
      <c r="I7" s="15">
        <v>202.19230260960009</v>
      </c>
      <c r="J7" s="15">
        <v>198.03384471824998</v>
      </c>
      <c r="K7" s="15">
        <v>273.16574725004995</v>
      </c>
      <c r="L7" s="15">
        <v>200.02499514500005</v>
      </c>
      <c r="M7" s="15">
        <v>203.40101346244998</v>
      </c>
      <c r="N7" s="15">
        <v>354.23333507215989</v>
      </c>
      <c r="O7" s="15">
        <v>2593.13536094345</v>
      </c>
      <c r="P7" s="331">
        <f>+M6*1000000000</f>
        <v>221384740837.5611</v>
      </c>
      <c r="Q7" s="9"/>
    </row>
    <row r="8" spans="1:97" s="20" customFormat="1" ht="24.75" customHeight="1">
      <c r="A8" s="17" t="s">
        <v>10</v>
      </c>
      <c r="B8" s="18" t="s">
        <v>11</v>
      </c>
      <c r="C8" s="19">
        <v>22.426760687000002</v>
      </c>
      <c r="D8" s="19">
        <v>93.831624074999993</v>
      </c>
      <c r="E8" s="19">
        <v>42.884900180000002</v>
      </c>
      <c r="F8" s="19">
        <v>69.039584891000004</v>
      </c>
      <c r="G8" s="19">
        <v>68.063994446999999</v>
      </c>
      <c r="H8" s="19">
        <v>108.35330903929001</v>
      </c>
      <c r="I8" s="19">
        <v>48.817341464000002</v>
      </c>
      <c r="J8" s="19">
        <v>44.612998935</v>
      </c>
      <c r="K8" s="19">
        <v>81.027772745999997</v>
      </c>
      <c r="L8" s="19">
        <v>43.945892540999999</v>
      </c>
      <c r="M8" s="19">
        <v>42.660672235150003</v>
      </c>
      <c r="N8" s="19">
        <v>105.81307752805999</v>
      </c>
      <c r="O8" s="19">
        <v>771.47792876849996</v>
      </c>
      <c r="P8" s="332">
        <f>+P6-P7</f>
        <v>0</v>
      </c>
    </row>
    <row r="9" spans="1:97" s="24" customFormat="1" ht="24.75" customHeight="1">
      <c r="A9" s="21"/>
      <c r="B9" s="22" t="s">
        <v>12</v>
      </c>
      <c r="C9" s="15">
        <v>4.4927178510000001</v>
      </c>
      <c r="D9" s="15">
        <v>67.015815071000006</v>
      </c>
      <c r="E9" s="15">
        <v>9.7251971959999999</v>
      </c>
      <c r="F9" s="15">
        <v>39.670446939000001</v>
      </c>
      <c r="G9" s="15">
        <v>36.491832031000001</v>
      </c>
      <c r="H9" s="15">
        <v>74.281061204290012</v>
      </c>
      <c r="I9" s="15">
        <v>18.172526522999998</v>
      </c>
      <c r="J9" s="15">
        <v>11.806074769</v>
      </c>
      <c r="K9" s="15">
        <v>42.158533669999997</v>
      </c>
      <c r="L9" s="15">
        <v>9.7575923860000007</v>
      </c>
      <c r="M9" s="15">
        <v>7.2073628776499996</v>
      </c>
      <c r="N9" s="15">
        <v>19.678697514059998</v>
      </c>
      <c r="O9" s="23">
        <v>340.45785803199999</v>
      </c>
      <c r="P9" s="333">
        <f>+M6-M28</f>
        <v>214.53807029544998</v>
      </c>
    </row>
    <row r="10" spans="1:97" s="24" customFormat="1" ht="24.75" customHeight="1">
      <c r="A10" s="21"/>
      <c r="B10" s="22" t="s">
        <v>13</v>
      </c>
      <c r="C10" s="15">
        <v>17.934042836</v>
      </c>
      <c r="D10" s="15">
        <v>26.815734003999999</v>
      </c>
      <c r="E10" s="15">
        <v>33.159702983999999</v>
      </c>
      <c r="F10" s="15">
        <v>29.369137951999999</v>
      </c>
      <c r="G10" s="15">
        <v>30.030990863</v>
      </c>
      <c r="H10" s="15">
        <v>33.893334447999997</v>
      </c>
      <c r="I10" s="15">
        <v>30.168442132999999</v>
      </c>
      <c r="J10" s="15">
        <v>31.643025456</v>
      </c>
      <c r="K10" s="15">
        <v>38.263979943999999</v>
      </c>
      <c r="L10" s="15">
        <v>34.188300155</v>
      </c>
      <c r="M10" s="15">
        <v>34.345680905499997</v>
      </c>
      <c r="N10" s="15">
        <v>84.293880817000002</v>
      </c>
      <c r="O10" s="23">
        <v>424.10625249749995</v>
      </c>
      <c r="P10" s="324">
        <f>+O6-O26</f>
        <v>2847.8653718754499</v>
      </c>
    </row>
    <row r="11" spans="1:97" ht="24.75" customHeight="1">
      <c r="A11" s="13"/>
      <c r="B11" s="22" t="s">
        <v>14</v>
      </c>
      <c r="C11" s="15">
        <v>3.5259621800000001</v>
      </c>
      <c r="D11" s="15">
        <v>3.6089195510000001</v>
      </c>
      <c r="E11" s="15">
        <v>3.5638571680000002</v>
      </c>
      <c r="F11" s="15">
        <v>3.872826189</v>
      </c>
      <c r="G11" s="15">
        <v>4.3343634059999996</v>
      </c>
      <c r="H11" s="15">
        <v>4.7690999999999999</v>
      </c>
      <c r="I11" s="15">
        <v>4.1063719110000001</v>
      </c>
      <c r="J11" s="15">
        <v>3.9910266189999999</v>
      </c>
      <c r="K11" s="15">
        <v>4.1729852679999997</v>
      </c>
      <c r="L11" s="15">
        <v>4.1278714169999997</v>
      </c>
      <c r="M11" s="15">
        <v>4.2359608120000001</v>
      </c>
      <c r="N11" s="15">
        <v>3.890334948</v>
      </c>
      <c r="O11" s="23">
        <v>48.199579469000007</v>
      </c>
      <c r="P11" s="334">
        <f>+([13]DGID!P1+[13]TRESOR!O15+[13]DGD!O40)/1000000000-P10</f>
        <v>2.977479000492167E-3</v>
      </c>
    </row>
    <row r="12" spans="1:97" s="20" customFormat="1" ht="24.75" customHeight="1">
      <c r="A12" s="17" t="s">
        <v>15</v>
      </c>
      <c r="B12" s="18" t="s">
        <v>16</v>
      </c>
      <c r="C12" s="19">
        <v>2.7573629089999998</v>
      </c>
      <c r="D12" s="19">
        <v>2.61595376</v>
      </c>
      <c r="E12" s="19">
        <v>2.9076442999999998</v>
      </c>
      <c r="F12" s="19">
        <v>2.490110547</v>
      </c>
      <c r="G12" s="19">
        <v>2.5665548779999998</v>
      </c>
      <c r="H12" s="19">
        <v>2.6591386455000001</v>
      </c>
      <c r="I12" s="19">
        <v>2.3947181976</v>
      </c>
      <c r="J12" s="19">
        <v>2.6582414879999998</v>
      </c>
      <c r="K12" s="19">
        <v>3.3374417200000002</v>
      </c>
      <c r="L12" s="19">
        <v>2.7098879230000001</v>
      </c>
      <c r="M12" s="19">
        <v>2.527106216</v>
      </c>
      <c r="N12" s="19">
        <v>3.4383515529999999</v>
      </c>
      <c r="O12" s="19">
        <v>33.062512137100001</v>
      </c>
      <c r="P12" s="335"/>
    </row>
    <row r="13" spans="1:97" s="20" customFormat="1" ht="24.75" customHeight="1">
      <c r="A13" s="17"/>
      <c r="B13" s="336" t="s">
        <v>678</v>
      </c>
      <c r="C13" s="23">
        <v>2.0124832389999998</v>
      </c>
      <c r="D13" s="23">
        <v>1.89725347125</v>
      </c>
      <c r="E13" s="23">
        <v>2.1015151319999998</v>
      </c>
      <c r="F13" s="23">
        <v>1.78842665125</v>
      </c>
      <c r="G13" s="23">
        <v>1.8431398969999999</v>
      </c>
      <c r="H13" s="23">
        <v>1.80188747</v>
      </c>
      <c r="I13" s="23">
        <v>1.7225428603499999</v>
      </c>
      <c r="J13" s="23">
        <v>1.91209852525</v>
      </c>
      <c r="K13" s="23">
        <v>2.4234546809999999</v>
      </c>
      <c r="L13" s="23">
        <v>1.94053751</v>
      </c>
      <c r="M13" s="23">
        <v>1.815205103</v>
      </c>
      <c r="N13" s="23">
        <v>1.9570526239999999</v>
      </c>
      <c r="O13" s="19">
        <v>23.215597164099997</v>
      </c>
      <c r="P13" s="335"/>
    </row>
    <row r="14" spans="1:97" s="20" customFormat="1" ht="24.75" customHeight="1">
      <c r="A14" s="17" t="s">
        <v>17</v>
      </c>
      <c r="B14" s="18" t="s">
        <v>18</v>
      </c>
      <c r="C14" s="19">
        <v>2.9091752030000002</v>
      </c>
      <c r="D14" s="19">
        <v>2.9296927820000001</v>
      </c>
      <c r="E14" s="19">
        <v>2.1601955249999998</v>
      </c>
      <c r="F14" s="19">
        <v>14.781319387999998</v>
      </c>
      <c r="G14" s="19">
        <v>8.0672404310000001</v>
      </c>
      <c r="H14" s="19">
        <v>3.7770994529999999</v>
      </c>
      <c r="I14" s="19">
        <v>2.8712175360000001</v>
      </c>
      <c r="J14" s="19">
        <v>2.709623493</v>
      </c>
      <c r="K14" s="19">
        <v>3.352721415</v>
      </c>
      <c r="L14" s="19">
        <v>2.2635045109999998</v>
      </c>
      <c r="M14" s="19">
        <v>4.7088193049999996</v>
      </c>
      <c r="N14" s="19">
        <v>4.9439580059999999</v>
      </c>
      <c r="O14" s="19">
        <v>55.474567048000004</v>
      </c>
      <c r="P14" s="337"/>
      <c r="Q14" s="322"/>
    </row>
    <row r="15" spans="1:97" s="20" customFormat="1" ht="24.75" customHeight="1">
      <c r="A15" s="17" t="s">
        <v>19</v>
      </c>
      <c r="B15" s="18" t="s">
        <v>20</v>
      </c>
      <c r="C15" s="19">
        <v>56.58216127275</v>
      </c>
      <c r="D15" s="19">
        <v>72.177608310850005</v>
      </c>
      <c r="E15" s="19">
        <v>91.260336677399991</v>
      </c>
      <c r="F15" s="19">
        <v>105.312113428</v>
      </c>
      <c r="G15" s="19">
        <v>104.51956456085</v>
      </c>
      <c r="H15" s="19">
        <v>102.69047499930001</v>
      </c>
      <c r="I15" s="19">
        <v>111.718971192</v>
      </c>
      <c r="J15" s="19">
        <v>110.45342927725</v>
      </c>
      <c r="K15" s="19">
        <v>140.85953299604998</v>
      </c>
      <c r="L15" s="19">
        <v>102.860412917</v>
      </c>
      <c r="M15" s="19">
        <v>108.6214052453</v>
      </c>
      <c r="N15" s="19">
        <v>185.9898553491</v>
      </c>
      <c r="O15" s="19">
        <v>1293.04586622585</v>
      </c>
      <c r="P15" s="337"/>
    </row>
    <row r="16" spans="1:97" s="27" customFormat="1" ht="24.75" customHeight="1">
      <c r="A16" s="25"/>
      <c r="B16" s="26" t="s">
        <v>21</v>
      </c>
      <c r="C16" s="23">
        <v>22.391858104000001</v>
      </c>
      <c r="D16" s="23">
        <v>8.4480285629999994</v>
      </c>
      <c r="E16" s="23">
        <v>25.340967991999999</v>
      </c>
      <c r="F16" s="23">
        <v>29.028381565</v>
      </c>
      <c r="G16" s="23">
        <v>31.696404598000001</v>
      </c>
      <c r="H16" s="23">
        <v>28.041216324000001</v>
      </c>
      <c r="I16" s="23">
        <v>27.893676265</v>
      </c>
      <c r="J16" s="23">
        <v>32.623091948999999</v>
      </c>
      <c r="K16" s="23">
        <v>36.998858228000003</v>
      </c>
      <c r="L16" s="23">
        <v>22.812264605999999</v>
      </c>
      <c r="M16" s="23">
        <v>31.778196700999999</v>
      </c>
      <c r="N16" s="23">
        <v>44.337900591999997</v>
      </c>
      <c r="O16" s="23">
        <v>341.39084548700004</v>
      </c>
      <c r="P16" s="338"/>
    </row>
    <row r="17" spans="1:16" s="30" customFormat="1" ht="24.75" hidden="1" customHeight="1">
      <c r="A17" s="28"/>
      <c r="B17" s="29" t="s">
        <v>22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>
        <v>0</v>
      </c>
    </row>
    <row r="18" spans="1:16" s="30" customFormat="1" ht="24.75" customHeight="1">
      <c r="A18" s="28"/>
      <c r="B18" s="26" t="s">
        <v>23</v>
      </c>
      <c r="C18" s="23">
        <v>22.32</v>
      </c>
      <c r="D18" s="23">
        <v>33.770000000000003</v>
      </c>
      <c r="E18" s="23">
        <v>27.55</v>
      </c>
      <c r="F18" s="23">
        <v>36.18</v>
      </c>
      <c r="G18" s="23">
        <v>42.24</v>
      </c>
      <c r="H18" s="15">
        <v>43.68</v>
      </c>
      <c r="I18" s="23">
        <v>45.48</v>
      </c>
      <c r="J18" s="23">
        <v>45.29</v>
      </c>
      <c r="K18" s="23">
        <v>71.010000000000005</v>
      </c>
      <c r="L18" s="23">
        <v>46.94</v>
      </c>
      <c r="M18" s="23">
        <v>49.71</v>
      </c>
      <c r="N18" s="23">
        <v>107.94</v>
      </c>
      <c r="O18" s="23">
        <v>572.1099999999999</v>
      </c>
      <c r="P18" s="339"/>
    </row>
    <row r="19" spans="1:16" s="30" customFormat="1" ht="24.75" hidden="1" customHeight="1">
      <c r="A19" s="28"/>
      <c r="B19" s="29" t="s">
        <v>24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0</v>
      </c>
      <c r="P19" s="339"/>
    </row>
    <row r="20" spans="1:16" s="30" customFormat="1" ht="24.75" customHeight="1">
      <c r="A20" s="28"/>
      <c r="B20" s="29" t="s">
        <v>25</v>
      </c>
      <c r="C20" s="23">
        <v>6.1649035349999997</v>
      </c>
      <c r="D20" s="23">
        <v>12.609297687</v>
      </c>
      <c r="E20" s="23">
        <v>17.639662261000002</v>
      </c>
      <c r="F20" s="23">
        <v>9.7858247879999993</v>
      </c>
      <c r="G20" s="23">
        <v>8.3751808279999995</v>
      </c>
      <c r="H20" s="23">
        <v>6.004992981</v>
      </c>
      <c r="I20" s="23">
        <v>7.7117202740000002</v>
      </c>
      <c r="J20" s="23">
        <v>6.8418082059999996</v>
      </c>
      <c r="K20" s="23">
        <v>4.8167739530000002</v>
      </c>
      <c r="L20" s="23">
        <v>3.4137703849999999</v>
      </c>
      <c r="M20" s="23">
        <v>3.4735265970000002</v>
      </c>
      <c r="N20" s="23">
        <v>2.7559261739999998</v>
      </c>
      <c r="O20" s="23">
        <v>89.593387668999995</v>
      </c>
    </row>
    <row r="21" spans="1:16" s="20" customFormat="1" ht="27.75" customHeight="1">
      <c r="A21" s="17" t="s">
        <v>26</v>
      </c>
      <c r="B21" s="32" t="s">
        <v>27</v>
      </c>
      <c r="C21" s="19">
        <v>18.75</v>
      </c>
      <c r="D21" s="19">
        <v>27.55</v>
      </c>
      <c r="E21" s="19">
        <v>19.739999999999998</v>
      </c>
      <c r="F21" s="19">
        <v>27.24</v>
      </c>
      <c r="G21" s="19">
        <v>29.77</v>
      </c>
      <c r="H21" s="19">
        <v>31.83</v>
      </c>
      <c r="I21" s="19">
        <v>33.049999999999997</v>
      </c>
      <c r="J21" s="19">
        <v>33.119999999999997</v>
      </c>
      <c r="K21" s="19">
        <v>40.51</v>
      </c>
      <c r="L21" s="19">
        <v>44.14</v>
      </c>
      <c r="M21" s="19">
        <v>41.42</v>
      </c>
      <c r="N21" s="19">
        <v>45.49</v>
      </c>
      <c r="O21" s="19">
        <v>392.61</v>
      </c>
      <c r="P21" s="322"/>
    </row>
    <row r="22" spans="1:16" s="20" customFormat="1" ht="24.75" customHeight="1">
      <c r="A22" s="17"/>
      <c r="B22" s="18" t="s">
        <v>679</v>
      </c>
      <c r="C22" s="19"/>
      <c r="D22" s="19"/>
      <c r="E22" s="19"/>
      <c r="F22" s="19"/>
      <c r="G22" s="19"/>
      <c r="H22" s="19"/>
      <c r="I22" s="19"/>
      <c r="J22" s="19"/>
      <c r="K22" s="23">
        <v>3.77</v>
      </c>
      <c r="L22" s="23">
        <v>4.7300000000000004</v>
      </c>
      <c r="M22" s="23">
        <v>5.95</v>
      </c>
      <c r="N22" s="23">
        <v>5.04</v>
      </c>
      <c r="O22" s="19">
        <v>19.489999999999998</v>
      </c>
      <c r="P22" s="322"/>
    </row>
    <row r="23" spans="1:16" s="27" customFormat="1" ht="24.75" hidden="1" customHeight="1">
      <c r="A23" s="25"/>
      <c r="B23" s="26" t="s">
        <v>28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6" ht="24.75" customHeight="1">
      <c r="A24" s="13" t="s">
        <v>29</v>
      </c>
      <c r="B24" s="33" t="s">
        <v>30</v>
      </c>
      <c r="C24" s="15">
        <v>1.601140958</v>
      </c>
      <c r="D24" s="15">
        <v>4.1296447020000002</v>
      </c>
      <c r="E24" s="15">
        <v>2.643829014</v>
      </c>
      <c r="F24" s="15">
        <v>4.2423172740000004</v>
      </c>
      <c r="G24" s="15">
        <v>3.355429204</v>
      </c>
      <c r="H24" s="15">
        <v>3.4678411439999999</v>
      </c>
      <c r="I24" s="15">
        <v>3.3400542199999999</v>
      </c>
      <c r="J24" s="15">
        <v>4.4795515249999998</v>
      </c>
      <c r="K24" s="15">
        <v>4.0782783729999998</v>
      </c>
      <c r="L24" s="15">
        <v>4.1052972529999998</v>
      </c>
      <c r="M24" s="15">
        <v>3.4630104610000001</v>
      </c>
      <c r="N24" s="15">
        <v>8.5580926359999996</v>
      </c>
      <c r="O24" s="15">
        <v>47.464486764</v>
      </c>
    </row>
    <row r="25" spans="1:16" s="20" customFormat="1" ht="24.75" customHeight="1">
      <c r="A25" s="17" t="s">
        <v>31</v>
      </c>
      <c r="B25" s="34" t="s">
        <v>32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</row>
    <row r="26" spans="1:16" s="20" customFormat="1" ht="24.75" customHeight="1">
      <c r="A26" s="17" t="s">
        <v>33</v>
      </c>
      <c r="B26" s="34" t="s">
        <v>34</v>
      </c>
      <c r="C26" s="19">
        <v>3.4666666666666663</v>
      </c>
      <c r="D26" s="19">
        <v>3.4666666666666663</v>
      </c>
      <c r="E26" s="19">
        <v>3.4666666666666663</v>
      </c>
      <c r="F26" s="19">
        <v>17.866666666666667</v>
      </c>
      <c r="G26" s="19">
        <v>11.9175</v>
      </c>
      <c r="H26" s="19">
        <v>17.051906448333327</v>
      </c>
      <c r="I26" s="19">
        <v>7.6100058131666666</v>
      </c>
      <c r="J26" s="19">
        <v>7.6100058131666666</v>
      </c>
      <c r="K26" s="19">
        <v>5.32</v>
      </c>
      <c r="L26" s="19">
        <v>6.846670542111112</v>
      </c>
      <c r="M26" s="19">
        <v>10.782412542111111</v>
      </c>
      <c r="N26" s="19">
        <v>35.20515245</v>
      </c>
      <c r="O26" s="19">
        <v>130.61032027555558</v>
      </c>
    </row>
    <row r="27" spans="1:16" ht="24.75" customHeight="1">
      <c r="A27" s="13"/>
      <c r="B27" s="14" t="s">
        <v>35</v>
      </c>
      <c r="C27" s="15">
        <v>0</v>
      </c>
      <c r="D27" s="15">
        <v>0</v>
      </c>
      <c r="E27" s="15">
        <v>0</v>
      </c>
      <c r="F27" s="15">
        <v>0</v>
      </c>
      <c r="G27" s="15">
        <v>4.4175000000000004</v>
      </c>
      <c r="H27" s="15">
        <v>7.1585382360000001</v>
      </c>
      <c r="I27" s="15">
        <v>0</v>
      </c>
      <c r="J27" s="15">
        <v>0</v>
      </c>
      <c r="K27" s="15">
        <v>0</v>
      </c>
      <c r="L27" s="15">
        <v>0</v>
      </c>
      <c r="M27" s="15">
        <v>3.9357419999999999</v>
      </c>
      <c r="N27" s="15">
        <v>1.590695725</v>
      </c>
      <c r="O27" s="15">
        <v>17.102475961</v>
      </c>
    </row>
    <row r="28" spans="1:16" ht="24.75" customHeight="1">
      <c r="A28" s="13"/>
      <c r="B28" s="14" t="s">
        <v>36</v>
      </c>
      <c r="C28" s="15">
        <v>3.4666666666666663</v>
      </c>
      <c r="D28" s="15">
        <v>3.4666666666666663</v>
      </c>
      <c r="E28" s="15">
        <v>3.4666666666666663</v>
      </c>
      <c r="F28" s="15">
        <v>17.866666666666667</v>
      </c>
      <c r="G28" s="15">
        <v>7.5</v>
      </c>
      <c r="H28" s="15">
        <v>9.8933682123333284</v>
      </c>
      <c r="I28" s="15">
        <v>7.6100058131666666</v>
      </c>
      <c r="J28" s="15">
        <v>7.6100058131666666</v>
      </c>
      <c r="K28" s="15">
        <v>5.32</v>
      </c>
      <c r="L28" s="15">
        <v>6.846670542111112</v>
      </c>
      <c r="M28" s="15">
        <v>6.846670542111112</v>
      </c>
      <c r="N28" s="15">
        <v>33.614456724999997</v>
      </c>
      <c r="O28" s="15">
        <v>113.50784431455554</v>
      </c>
    </row>
    <row r="29" spans="1:16" s="20" customFormat="1" ht="24.75" customHeight="1">
      <c r="A29" s="17" t="s">
        <v>37</v>
      </c>
      <c r="B29" s="34" t="s">
        <v>38</v>
      </c>
      <c r="C29" s="19">
        <v>11.427619882</v>
      </c>
      <c r="D29" s="19">
        <v>3.0013377669999999</v>
      </c>
      <c r="E29" s="19">
        <v>2.6614324620000001</v>
      </c>
      <c r="F29" s="19">
        <v>13.936177624999999</v>
      </c>
      <c r="G29" s="19">
        <v>26.205045337000001</v>
      </c>
      <c r="H29" s="19">
        <v>23.676122234000001</v>
      </c>
      <c r="I29" s="19">
        <v>5.468825925</v>
      </c>
      <c r="J29" s="19">
        <v>10.868818013</v>
      </c>
      <c r="K29" s="19">
        <v>4.4238591009999997</v>
      </c>
      <c r="L29" s="19">
        <v>14.334063469</v>
      </c>
      <c r="M29" s="19">
        <v>7.2013148329999996</v>
      </c>
      <c r="N29" s="19">
        <v>131.52539428399999</v>
      </c>
      <c r="O29" s="19">
        <v>254.730010932</v>
      </c>
    </row>
    <row r="30" spans="1:16" s="27" customFormat="1" ht="24.75" customHeight="1">
      <c r="A30" s="25"/>
      <c r="B30" s="22" t="s">
        <v>39</v>
      </c>
      <c r="C30" s="23">
        <v>0</v>
      </c>
      <c r="D30" s="23">
        <v>0</v>
      </c>
      <c r="E30" s="23">
        <v>0</v>
      </c>
      <c r="F30" s="23">
        <v>4.9000000000000004</v>
      </c>
      <c r="G30" s="23">
        <v>23.979483623</v>
      </c>
      <c r="H30" s="23">
        <v>0</v>
      </c>
      <c r="I30" s="23">
        <v>0.26846590999999997</v>
      </c>
      <c r="J30" s="23">
        <v>1.0285675439999999</v>
      </c>
      <c r="K30" s="23">
        <v>0.21812104099999999</v>
      </c>
      <c r="L30" s="23">
        <v>8.4040000000000004E-2</v>
      </c>
      <c r="M30" s="23">
        <v>0.32400000000000001</v>
      </c>
      <c r="N30" s="23">
        <v>98.536317679999996</v>
      </c>
      <c r="O30" s="23">
        <v>129.33899579799998</v>
      </c>
    </row>
    <row r="31" spans="1:16" s="27" customFormat="1" ht="24.75" customHeight="1">
      <c r="A31" s="25"/>
      <c r="B31" s="22" t="s">
        <v>40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</row>
    <row r="32" spans="1:16" s="27" customFormat="1" ht="24.75" customHeight="1">
      <c r="A32" s="25"/>
      <c r="B32" s="22" t="s">
        <v>41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338"/>
    </row>
    <row r="33" spans="1:81" s="27" customFormat="1" ht="24.75" customHeight="1">
      <c r="A33" s="25"/>
      <c r="B33" s="22" t="s">
        <v>42</v>
      </c>
      <c r="C33" s="23">
        <v>11.427619882</v>
      </c>
      <c r="D33" s="23">
        <v>3.0013377669999999</v>
      </c>
      <c r="E33" s="23">
        <v>2.6614324620000001</v>
      </c>
      <c r="F33" s="23">
        <v>9.0361776250000005</v>
      </c>
      <c r="G33" s="23">
        <v>2.2255617139999999</v>
      </c>
      <c r="H33" s="23">
        <v>23.676122234000001</v>
      </c>
      <c r="I33" s="23">
        <v>5.2003600150000002</v>
      </c>
      <c r="J33" s="23">
        <v>9.8402504690000008</v>
      </c>
      <c r="K33" s="23">
        <v>4.2057380599999998</v>
      </c>
      <c r="L33" s="23">
        <v>14.250023469</v>
      </c>
      <c r="M33" s="23">
        <v>6.8773148329999998</v>
      </c>
      <c r="N33" s="23">
        <v>32.989076603999997</v>
      </c>
      <c r="O33" s="23">
        <v>125.39101513400001</v>
      </c>
      <c r="P33" s="338"/>
    </row>
    <row r="34" spans="1:81" s="12" customFormat="1" ht="24.75" customHeight="1">
      <c r="A34" s="7" t="s">
        <v>43</v>
      </c>
      <c r="B34" s="10" t="s">
        <v>44</v>
      </c>
      <c r="C34" s="11">
        <v>268.37330093841985</v>
      </c>
      <c r="D34" s="11">
        <v>305.40427907700007</v>
      </c>
      <c r="E34" s="11">
        <v>238.85570615875525</v>
      </c>
      <c r="F34" s="11">
        <v>333.58114497799988</v>
      </c>
      <c r="G34" s="11">
        <v>197.69231785400007</v>
      </c>
      <c r="H34" s="11">
        <v>189.32140842094</v>
      </c>
      <c r="I34" s="11">
        <v>426.77923087273842</v>
      </c>
      <c r="J34" s="11">
        <v>206.3346732618823</v>
      </c>
      <c r="K34" s="11">
        <v>299.37030281599999</v>
      </c>
      <c r="L34" s="11">
        <v>356.19148102599996</v>
      </c>
      <c r="M34" s="11">
        <v>219.47973132300004</v>
      </c>
      <c r="N34" s="11">
        <v>174.83898006804998</v>
      </c>
      <c r="O34" s="11">
        <v>3216.2225567947858</v>
      </c>
      <c r="P34" s="330">
        <f>+(N34+N60)*1000000000</f>
        <v>226371725646.19824</v>
      </c>
      <c r="Q34" s="330">
        <f>+(O34+O60)*1000000000</f>
        <v>3943680964005.3418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ht="24.75" customHeight="1">
      <c r="A35" s="13" t="s">
        <v>45</v>
      </c>
      <c r="B35" s="14" t="s">
        <v>46</v>
      </c>
      <c r="C35" s="15">
        <v>68.518117927999995</v>
      </c>
      <c r="D35" s="15">
        <v>69.476670576000004</v>
      </c>
      <c r="E35" s="15">
        <v>71.048664298999995</v>
      </c>
      <c r="F35" s="15">
        <v>73.420780715000006</v>
      </c>
      <c r="G35" s="15">
        <v>73.945674523999998</v>
      </c>
      <c r="H35" s="15">
        <v>75.592874877</v>
      </c>
      <c r="I35" s="15">
        <v>77.060560578999997</v>
      </c>
      <c r="J35" s="15">
        <v>74.874833873</v>
      </c>
      <c r="K35" s="15">
        <v>75.689607649999999</v>
      </c>
      <c r="L35" s="15">
        <v>75.931414341000007</v>
      </c>
      <c r="M35" s="15">
        <v>76.506284461999996</v>
      </c>
      <c r="N35" s="15">
        <v>73.714751677050003</v>
      </c>
      <c r="O35" s="15">
        <v>885.78023550105002</v>
      </c>
      <c r="P35" s="340">
        <f>+'[13]SIGFIP(y compr régul°)'!N224+[13]DEVERS!N47+'[13]Tirages ress ext'!M21+[13]INTERET_INTERIEUR!N22+[13]INTERET_EXTERIEUR!M31+'[13]REGUL EN INSTANCE &amp; AJUSTEMENTS'!M5+'[13]REGUL EN INSTANCE &amp; AJUSTEMENTS'!M6</f>
        <v>226371725646.19824</v>
      </c>
      <c r="Q35" s="330">
        <f>+'[13]SIGFIP(y compr régul°)'!O224+[13]INTERET_EXTERIEUR!N31+[13]DEVERS!O47+[13]INTERET_INTERIEUR!O22+'[13]REGUL EN INSTANCE &amp; AJUSTEMENTS'!N5+'[13]REGUL EN INSTANCE &amp; AJUSTEMENTS'!N6+'[13]Tirages ress ext'!N21</f>
        <v>3942090290417.3418</v>
      </c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</row>
    <row r="36" spans="1:81" ht="24.75" customHeight="1">
      <c r="A36" s="13" t="s">
        <v>47</v>
      </c>
      <c r="B36" s="14" t="s">
        <v>48</v>
      </c>
      <c r="C36" s="15">
        <v>7.9037568660000002</v>
      </c>
      <c r="D36" s="15">
        <v>20.792107266999999</v>
      </c>
      <c r="E36" s="15">
        <v>26.184682087999999</v>
      </c>
      <c r="F36" s="15">
        <v>23.867882668</v>
      </c>
      <c r="G36" s="15">
        <v>23.972978092000002</v>
      </c>
      <c r="H36" s="15">
        <v>26.147113579999999</v>
      </c>
      <c r="I36" s="15">
        <v>40.647116462</v>
      </c>
      <c r="J36" s="15">
        <v>37.651935950000002</v>
      </c>
      <c r="K36" s="15">
        <v>92.035685032000004</v>
      </c>
      <c r="L36" s="15">
        <v>28.100037323999999</v>
      </c>
      <c r="M36" s="15">
        <v>31.967763404999999</v>
      </c>
      <c r="N36" s="15">
        <v>17.731299729</v>
      </c>
      <c r="O36" s="15">
        <v>377.00235846300001</v>
      </c>
      <c r="P36" s="341">
        <f>+P35-P34</f>
        <v>0</v>
      </c>
      <c r="Q36" s="341">
        <f>+Q35-Q34</f>
        <v>-1590673588</v>
      </c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</row>
    <row r="37" spans="1:81" s="27" customFormat="1" ht="24.75" customHeight="1">
      <c r="A37" s="25"/>
      <c r="B37" s="22" t="s">
        <v>49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341"/>
    </row>
    <row r="38" spans="1:81" s="27" customFormat="1" ht="24.75" customHeight="1">
      <c r="A38" s="25"/>
      <c r="B38" s="22" t="s">
        <v>50</v>
      </c>
      <c r="C38" s="23">
        <v>0</v>
      </c>
      <c r="D38" s="23">
        <v>3.0295420000000002</v>
      </c>
      <c r="E38" s="35">
        <v>4.3778131999999997E-2</v>
      </c>
      <c r="F38" s="35">
        <v>2.3018397259999999</v>
      </c>
      <c r="G38" s="23">
        <v>0.46943890900000002</v>
      </c>
      <c r="H38" s="23">
        <v>0.48827235000000002</v>
      </c>
      <c r="I38" s="23">
        <v>8.0589620000000001E-2</v>
      </c>
      <c r="J38" s="23">
        <v>0.53169557499999998</v>
      </c>
      <c r="K38" s="23">
        <v>3.4835339999999999E-2</v>
      </c>
      <c r="L38" s="23">
        <v>0.44357902599999999</v>
      </c>
      <c r="M38" s="23">
        <v>9.9966250000000006E-2</v>
      </c>
      <c r="N38" s="23">
        <v>0.84010353999999998</v>
      </c>
      <c r="O38" s="23">
        <v>8.3636404679999981</v>
      </c>
      <c r="P38" s="342"/>
    </row>
    <row r="39" spans="1:81" ht="24.75" customHeight="1">
      <c r="A39" s="13" t="s">
        <v>51</v>
      </c>
      <c r="B39" s="14" t="s">
        <v>52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343"/>
      <c r="Q39" s="9"/>
    </row>
    <row r="40" spans="1:81" s="36" customFormat="1" ht="24.75" customHeight="1">
      <c r="A40" s="13" t="s">
        <v>53</v>
      </c>
      <c r="B40" s="14" t="s">
        <v>54</v>
      </c>
      <c r="C40" s="15">
        <v>33.155693006419924</v>
      </c>
      <c r="D40" s="15">
        <v>59.015222622000003</v>
      </c>
      <c r="E40" s="15">
        <v>18.975449560755226</v>
      </c>
      <c r="F40" s="15">
        <v>16.255974705</v>
      </c>
      <c r="G40" s="15">
        <v>19.898600005999999</v>
      </c>
      <c r="H40" s="15">
        <v>31.933324530939995</v>
      </c>
      <c r="I40" s="15">
        <v>28.34490484473848</v>
      </c>
      <c r="J40" s="15">
        <v>4.8946773188822696</v>
      </c>
      <c r="K40" s="15">
        <v>17.389521501000001</v>
      </c>
      <c r="L40" s="15">
        <v>33.72992936</v>
      </c>
      <c r="M40" s="15">
        <v>21.438774262999999</v>
      </c>
      <c r="N40" s="15">
        <v>21.498266472000001</v>
      </c>
      <c r="O40" s="15">
        <v>306.5303381907359</v>
      </c>
      <c r="P40" s="344"/>
      <c r="Q40" s="345"/>
    </row>
    <row r="41" spans="1:81" s="38" customFormat="1" ht="24.75" customHeight="1">
      <c r="A41" s="25"/>
      <c r="B41" s="37" t="s">
        <v>55</v>
      </c>
      <c r="C41" s="23">
        <v>27.842426279954047</v>
      </c>
      <c r="D41" s="23">
        <v>55.497239103397497</v>
      </c>
      <c r="E41" s="23">
        <v>9.8510272720052239</v>
      </c>
      <c r="F41" s="23">
        <v>13.255043940625001</v>
      </c>
      <c r="G41" s="23">
        <v>19.066905574043417</v>
      </c>
      <c r="H41" s="23">
        <v>19.870985368387498</v>
      </c>
      <c r="I41" s="23">
        <v>24.620799182133826</v>
      </c>
      <c r="J41" s="23">
        <v>4.8884114310493896</v>
      </c>
      <c r="K41" s="23">
        <v>13.505786358532498</v>
      </c>
      <c r="L41" s="23">
        <v>30.6929941538774</v>
      </c>
      <c r="M41" s="23">
        <v>19.530866137977711</v>
      </c>
      <c r="N41" s="23">
        <v>15.51424526607936</v>
      </c>
      <c r="O41" s="15">
        <v>254.13673006806289</v>
      </c>
      <c r="P41" s="346"/>
      <c r="Q41" s="347"/>
    </row>
    <row r="42" spans="1:81" s="38" customFormat="1" ht="24.75" customHeight="1">
      <c r="A42" s="25"/>
      <c r="B42" s="37" t="s">
        <v>56</v>
      </c>
      <c r="C42" s="23">
        <v>5.922981931465876</v>
      </c>
      <c r="D42" s="23">
        <v>3.5179835186025001</v>
      </c>
      <c r="E42" s="23">
        <v>9.1244222887500008</v>
      </c>
      <c r="F42" s="23">
        <v>2.3912155593750004</v>
      </c>
      <c r="G42" s="23">
        <v>0.83169443195657988</v>
      </c>
      <c r="H42" s="23">
        <v>12.062339162552499</v>
      </c>
      <c r="I42" s="23">
        <v>3.7241056626046523</v>
      </c>
      <c r="J42" s="23">
        <v>6.2658878328799997E-3</v>
      </c>
      <c r="K42" s="23">
        <v>3.8837351424674997</v>
      </c>
      <c r="L42" s="23">
        <v>3.0369352061226</v>
      </c>
      <c r="M42" s="23">
        <v>1.90790812502229</v>
      </c>
      <c r="N42" s="23">
        <v>5.984021205920639</v>
      </c>
      <c r="O42" s="15">
        <v>52.393608122673022</v>
      </c>
      <c r="P42" s="343"/>
      <c r="Q42" s="348"/>
    </row>
    <row r="43" spans="1:81" ht="24.75" customHeight="1">
      <c r="A43" s="13" t="s">
        <v>57</v>
      </c>
      <c r="B43" s="14" t="s">
        <v>58</v>
      </c>
      <c r="C43" s="15">
        <v>18.193050045</v>
      </c>
      <c r="D43" s="15">
        <v>8.0654778809999996</v>
      </c>
      <c r="E43" s="15">
        <v>3.096469167</v>
      </c>
      <c r="F43" s="15">
        <v>15.208231532999999</v>
      </c>
      <c r="G43" s="15">
        <v>4.9973408680000002</v>
      </c>
      <c r="H43" s="15">
        <v>6.2321615130000003</v>
      </c>
      <c r="I43" s="15">
        <v>16.486872546000001</v>
      </c>
      <c r="J43" s="15">
        <v>1.48734408</v>
      </c>
      <c r="K43" s="15">
        <v>3.2014654720000002</v>
      </c>
      <c r="L43" s="15">
        <v>5.2288760439999997</v>
      </c>
      <c r="M43" s="15">
        <v>3.8959495409999998</v>
      </c>
      <c r="N43" s="15">
        <v>4.9343836679999997</v>
      </c>
      <c r="O43" s="15">
        <v>91.027622357999988</v>
      </c>
      <c r="P43" s="344"/>
      <c r="Q43" s="9"/>
    </row>
    <row r="44" spans="1:81" s="27" customFormat="1" ht="24.75" customHeight="1">
      <c r="A44" s="25"/>
      <c r="B44" s="349" t="s">
        <v>680</v>
      </c>
      <c r="C44" s="23">
        <v>0.85459504500000005</v>
      </c>
      <c r="D44" s="23">
        <v>0.80568092499999999</v>
      </c>
      <c r="E44" s="23">
        <v>1.000560667</v>
      </c>
      <c r="F44" s="23">
        <v>0.75526858299999999</v>
      </c>
      <c r="G44" s="23">
        <v>0.85377151500000004</v>
      </c>
      <c r="H44" s="23">
        <v>0.78613783400000004</v>
      </c>
      <c r="I44" s="23">
        <v>0.79799536699999996</v>
      </c>
      <c r="J44" s="23">
        <v>0.81549157999999999</v>
      </c>
      <c r="K44" s="23">
        <v>0.77518200800000003</v>
      </c>
      <c r="L44" s="23">
        <v>0.95858851499999997</v>
      </c>
      <c r="M44" s="23">
        <v>0.87024153500000001</v>
      </c>
      <c r="N44" s="23">
        <v>0.29548366799999998</v>
      </c>
      <c r="O44" s="15">
        <v>9.568997242</v>
      </c>
      <c r="P44" s="350"/>
    </row>
    <row r="45" spans="1:81" ht="24.75" customHeight="1">
      <c r="A45" s="13" t="s">
        <v>59</v>
      </c>
      <c r="B45" s="14" t="s">
        <v>34</v>
      </c>
      <c r="C45" s="15">
        <v>104.120390499</v>
      </c>
      <c r="D45" s="15">
        <v>139.420535438</v>
      </c>
      <c r="E45" s="15">
        <v>88.955253697000003</v>
      </c>
      <c r="F45" s="15">
        <v>183.69883173599999</v>
      </c>
      <c r="G45" s="15">
        <v>70.744317714000005</v>
      </c>
      <c r="H45" s="15">
        <v>38.760711626000003</v>
      </c>
      <c r="I45" s="15">
        <v>237.696390509</v>
      </c>
      <c r="J45" s="15">
        <v>77.853471530999997</v>
      </c>
      <c r="K45" s="15">
        <v>96.175802434000005</v>
      </c>
      <c r="L45" s="15">
        <v>187.49347460000001</v>
      </c>
      <c r="M45" s="15">
        <v>78.637710513000002</v>
      </c>
      <c r="N45" s="15">
        <v>44.996973132000001</v>
      </c>
      <c r="O45" s="15">
        <v>1348.5538634289999</v>
      </c>
      <c r="P45" s="351"/>
    </row>
    <row r="46" spans="1:81" s="27" customFormat="1" ht="24.75" customHeight="1">
      <c r="A46" s="25"/>
      <c r="B46" s="22" t="s">
        <v>60</v>
      </c>
      <c r="C46" s="23">
        <v>77.800088058</v>
      </c>
      <c r="D46" s="23">
        <v>49.644994044999997</v>
      </c>
      <c r="E46" s="23">
        <v>39.115086792</v>
      </c>
      <c r="F46" s="23">
        <v>108.868565756</v>
      </c>
      <c r="G46" s="23">
        <v>27.003723453999999</v>
      </c>
      <c r="H46" s="23">
        <v>25.9840315</v>
      </c>
      <c r="I46" s="23">
        <v>151.45148459399999</v>
      </c>
      <c r="J46" s="23">
        <v>31.279943661000001</v>
      </c>
      <c r="K46" s="23">
        <v>33.823038867000001</v>
      </c>
      <c r="L46" s="23">
        <v>77.739746443000001</v>
      </c>
      <c r="M46" s="23">
        <v>25.768565444</v>
      </c>
      <c r="N46" s="23">
        <v>21.182268244999999</v>
      </c>
      <c r="O46" s="15">
        <v>669.66153685900008</v>
      </c>
    </row>
    <row r="47" spans="1:81" s="27" customFormat="1" ht="24.75" customHeight="1">
      <c r="A47" s="25"/>
      <c r="B47" s="22" t="s">
        <v>61</v>
      </c>
      <c r="C47" s="23">
        <v>26.320302440999999</v>
      </c>
      <c r="D47" s="23">
        <v>89.775541392999997</v>
      </c>
      <c r="E47" s="23">
        <v>49.840166904999997</v>
      </c>
      <c r="F47" s="23">
        <v>74.830265979999993</v>
      </c>
      <c r="G47" s="23">
        <v>43.740594260000002</v>
      </c>
      <c r="H47" s="23">
        <v>12.776680126</v>
      </c>
      <c r="I47" s="23">
        <v>86.244905915000004</v>
      </c>
      <c r="J47" s="23">
        <v>46.573527869999999</v>
      </c>
      <c r="K47" s="23">
        <v>62.352763566999997</v>
      </c>
      <c r="L47" s="23">
        <v>109.753728157</v>
      </c>
      <c r="M47" s="23">
        <v>52.869145068999998</v>
      </c>
      <c r="N47" s="23">
        <v>23.814704887000001</v>
      </c>
      <c r="O47" s="15">
        <v>678.89232656999991</v>
      </c>
    </row>
    <row r="48" spans="1:81" s="39" customFormat="1" ht="24.75" customHeight="1">
      <c r="A48" s="13" t="s">
        <v>62</v>
      </c>
      <c r="B48" s="14" t="s">
        <v>63</v>
      </c>
      <c r="C48" s="15">
        <v>1.7425695969999999</v>
      </c>
      <c r="D48" s="15">
        <v>1.6880850359999999</v>
      </c>
      <c r="E48" s="15">
        <v>2.448550418</v>
      </c>
      <c r="F48" s="15">
        <v>2.1621210300000002</v>
      </c>
      <c r="G48" s="15">
        <v>2.8936670640000002</v>
      </c>
      <c r="H48" s="15">
        <v>1.7244355440000001</v>
      </c>
      <c r="I48" s="15">
        <v>1.6731092000000001</v>
      </c>
      <c r="J48" s="15">
        <v>2.4717686080000001</v>
      </c>
      <c r="K48" s="15">
        <v>1.6951253610000001</v>
      </c>
      <c r="L48" s="15">
        <v>2.3065428610000001</v>
      </c>
      <c r="M48" s="15">
        <v>1.420269491</v>
      </c>
      <c r="N48" s="15">
        <v>0.66035256600000003</v>
      </c>
      <c r="O48" s="15">
        <v>22.886596776000001</v>
      </c>
      <c r="P48" s="352"/>
      <c r="Q48" s="352"/>
    </row>
    <row r="49" spans="1:81" ht="24.75" customHeight="1">
      <c r="A49" s="13" t="s">
        <v>64</v>
      </c>
      <c r="B49" s="14" t="s">
        <v>65</v>
      </c>
      <c r="C49" s="15">
        <v>34.739722997000001</v>
      </c>
      <c r="D49" s="15">
        <v>6.946180257</v>
      </c>
      <c r="E49" s="15">
        <v>28.146636929</v>
      </c>
      <c r="F49" s="15">
        <v>18.967322590999999</v>
      </c>
      <c r="G49" s="15">
        <v>1.239739586</v>
      </c>
      <c r="H49" s="15">
        <v>8.9307867499999993</v>
      </c>
      <c r="I49" s="15">
        <v>24.870276732000001</v>
      </c>
      <c r="J49" s="15">
        <v>7.1006419010000004</v>
      </c>
      <c r="K49" s="15">
        <v>13.183095366</v>
      </c>
      <c r="L49" s="15">
        <v>23.401206496</v>
      </c>
      <c r="M49" s="15">
        <v>5.6129796479999996</v>
      </c>
      <c r="N49" s="15">
        <v>11.302952824</v>
      </c>
      <c r="O49" s="15">
        <v>184.44154207699998</v>
      </c>
      <c r="P49" s="353"/>
      <c r="Q49" s="9"/>
    </row>
    <row r="50" spans="1:81" ht="24.75" customHeight="1">
      <c r="A50" s="13"/>
      <c r="B50" s="14" t="s">
        <v>66</v>
      </c>
      <c r="C50" s="15">
        <v>34.739722997000001</v>
      </c>
      <c r="D50" s="15">
        <v>6.946180257</v>
      </c>
      <c r="E50" s="15">
        <v>28.146636929</v>
      </c>
      <c r="F50" s="15">
        <v>18.967322590999999</v>
      </c>
      <c r="G50" s="15">
        <v>1.239739586</v>
      </c>
      <c r="H50" s="15">
        <v>8.9307867499999993</v>
      </c>
      <c r="I50" s="15">
        <v>24.870276732000001</v>
      </c>
      <c r="J50" s="15">
        <v>7.1006419010000004</v>
      </c>
      <c r="K50" s="15">
        <v>13.183095366</v>
      </c>
      <c r="L50" s="15">
        <v>23.401206496</v>
      </c>
      <c r="M50" s="15">
        <v>5.6129796479999996</v>
      </c>
      <c r="N50" s="15">
        <v>11.302952824</v>
      </c>
      <c r="O50" s="15">
        <v>184.44154207699998</v>
      </c>
    </row>
    <row r="51" spans="1:81" s="27" customFormat="1" ht="24.75" customHeight="1">
      <c r="A51" s="25"/>
      <c r="B51" s="22" t="s">
        <v>67</v>
      </c>
      <c r="C51" s="23">
        <v>28.661716731999999</v>
      </c>
      <c r="D51" s="23">
        <v>0.51594600000000002</v>
      </c>
      <c r="E51" s="23">
        <v>15.729577365999999</v>
      </c>
      <c r="F51" s="23">
        <v>2.09341</v>
      </c>
      <c r="G51" s="23">
        <v>0.53352049999999995</v>
      </c>
      <c r="H51" s="23">
        <v>0.33371200000000001</v>
      </c>
      <c r="I51" s="23">
        <v>10.480418</v>
      </c>
      <c r="J51" s="23">
        <v>0.19668649999999999</v>
      </c>
      <c r="K51" s="23">
        <v>6.741079</v>
      </c>
      <c r="L51" s="23">
        <v>9.2731679889999992</v>
      </c>
      <c r="M51" s="23">
        <v>3.1559270000000001</v>
      </c>
      <c r="N51" s="23">
        <v>5.3481713659999999</v>
      </c>
      <c r="O51" s="23">
        <v>83.063332453000001</v>
      </c>
    </row>
    <row r="52" spans="1:81" s="27" customFormat="1" ht="24.75" customHeight="1">
      <c r="A52" s="25"/>
      <c r="B52" s="22" t="s">
        <v>68</v>
      </c>
      <c r="C52" s="23">
        <v>6.0030062649999998</v>
      </c>
      <c r="D52" s="23">
        <v>0</v>
      </c>
      <c r="E52" s="23">
        <v>11.163886783000001</v>
      </c>
      <c r="F52" s="23">
        <v>15.096259888000001</v>
      </c>
      <c r="G52" s="23">
        <v>0</v>
      </c>
      <c r="H52" s="23">
        <v>5.0555218770000003</v>
      </c>
      <c r="I52" s="23">
        <v>11.786075531</v>
      </c>
      <c r="J52" s="23">
        <v>5.4334676919999998</v>
      </c>
      <c r="K52" s="23">
        <v>4.5943154460000004</v>
      </c>
      <c r="L52" s="23">
        <v>10.195656585</v>
      </c>
      <c r="M52" s="23">
        <v>0</v>
      </c>
      <c r="N52" s="23">
        <v>2.6799665030000002</v>
      </c>
      <c r="O52" s="23">
        <v>72.008156570000011</v>
      </c>
    </row>
    <row r="53" spans="1:81" s="27" customFormat="1" ht="24.75" customHeight="1">
      <c r="A53" s="25"/>
      <c r="B53" s="22" t="s">
        <v>69</v>
      </c>
      <c r="C53" s="23">
        <v>0</v>
      </c>
      <c r="D53" s="23">
        <v>0</v>
      </c>
      <c r="E53" s="23">
        <v>0.48499999999999999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0.63500000000000001</v>
      </c>
      <c r="L53" s="23">
        <v>1.0991719870000001</v>
      </c>
      <c r="M53" s="23">
        <v>1.499839E-2</v>
      </c>
      <c r="N53" s="23">
        <v>0</v>
      </c>
      <c r="O53" s="23">
        <v>2.2341703770000003</v>
      </c>
    </row>
    <row r="54" spans="1:81" ht="24.75" customHeight="1">
      <c r="A54" s="13"/>
      <c r="B54" s="14" t="s">
        <v>70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U54" s="9"/>
    </row>
    <row r="55" spans="1:81" s="27" customFormat="1" ht="24.75" customHeight="1">
      <c r="A55" s="25"/>
      <c r="B55" s="22" t="s">
        <v>71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81" s="27" customFormat="1" ht="24.75" customHeight="1">
      <c r="A56" s="25"/>
      <c r="B56" s="22" t="s">
        <v>72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81" s="12" customFormat="1" ht="24.75" customHeight="1">
      <c r="A57" s="17" t="s">
        <v>73</v>
      </c>
      <c r="B57" s="40" t="s">
        <v>74</v>
      </c>
      <c r="C57" s="11">
        <v>-148.45241336000316</v>
      </c>
      <c r="D57" s="11">
        <v>-95.701751013483459</v>
      </c>
      <c r="E57" s="11">
        <v>-71.130701333688592</v>
      </c>
      <c r="F57" s="11">
        <v>-78.672855158333192</v>
      </c>
      <c r="G57" s="11">
        <v>56.773011003849916</v>
      </c>
      <c r="H57" s="11">
        <v>104.18448354248326</v>
      </c>
      <c r="I57" s="11">
        <v>-211.50809652497165</v>
      </c>
      <c r="J57" s="11">
        <v>10.177995282534368</v>
      </c>
      <c r="K57" s="11">
        <v>-16.460696464950047</v>
      </c>
      <c r="L57" s="11">
        <v>-134.98575186988882</v>
      </c>
      <c r="M57" s="11">
        <v>1.9050095145610442</v>
      </c>
      <c r="N57" s="11">
        <v>346.12490173810988</v>
      </c>
      <c r="O57" s="11">
        <v>-237.7468646437801</v>
      </c>
      <c r="P57"/>
      <c r="Q57" s="9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s="12" customFormat="1" ht="24.75" customHeight="1">
      <c r="A58" s="17" t="s">
        <v>75</v>
      </c>
      <c r="B58" s="40" t="s">
        <v>76</v>
      </c>
      <c r="C58" s="11">
        <v>-148.45241336000316</v>
      </c>
      <c r="D58" s="11">
        <v>-95.701751013483459</v>
      </c>
      <c r="E58" s="11">
        <v>-71.130701333688592</v>
      </c>
      <c r="F58" s="11">
        <v>-78.672855158333192</v>
      </c>
      <c r="G58" s="11">
        <v>56.773011003849916</v>
      </c>
      <c r="H58" s="11">
        <v>104.18448354248326</v>
      </c>
      <c r="I58" s="11">
        <v>-211.50809652497165</v>
      </c>
      <c r="J58" s="11">
        <v>10.177995282534368</v>
      </c>
      <c r="K58" s="11">
        <v>-16.460696464950047</v>
      </c>
      <c r="L58" s="11">
        <v>-134.98575186988882</v>
      </c>
      <c r="M58" s="11">
        <v>1.9050095145610442</v>
      </c>
      <c r="N58" s="11">
        <v>346.12490173810988</v>
      </c>
      <c r="O58" s="11">
        <v>-237.7468646437801</v>
      </c>
      <c r="P58" s="35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s="36" customFormat="1" ht="35.25" customHeight="1">
      <c r="A59" s="7"/>
      <c r="B59" s="8" t="s">
        <v>77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81" ht="24.75" customHeight="1">
      <c r="A60" s="7" t="s">
        <v>78</v>
      </c>
      <c r="B60" s="10" t="s">
        <v>79</v>
      </c>
      <c r="C60" s="11">
        <v>41.866666666666667</v>
      </c>
      <c r="D60" s="11">
        <v>53.646425969666673</v>
      </c>
      <c r="E60" s="11">
        <v>114.01108178666667</v>
      </c>
      <c r="F60" s="11">
        <v>44.771316270000007</v>
      </c>
      <c r="G60" s="11">
        <v>32.41270253433332</v>
      </c>
      <c r="H60" s="11">
        <v>85.024543706333318</v>
      </c>
      <c r="I60" s="11">
        <v>60.305336651222177</v>
      </c>
      <c r="J60" s="11">
        <v>61.072849650222167</v>
      </c>
      <c r="K60" s="11">
        <v>94.938433321999995</v>
      </c>
      <c r="L60" s="11">
        <v>52.012765588185232</v>
      </c>
      <c r="M60" s="11">
        <v>35.863539487111112</v>
      </c>
      <c r="N60" s="11">
        <v>51.532745578148251</v>
      </c>
      <c r="O60" s="11">
        <v>727.45840721055561</v>
      </c>
      <c r="P60" s="9"/>
      <c r="Q60" s="9"/>
    </row>
    <row r="61" spans="1:81" ht="24.75" customHeight="1">
      <c r="A61" s="13" t="s">
        <v>80</v>
      </c>
      <c r="B61" s="14" t="s">
        <v>81</v>
      </c>
      <c r="C61" s="15">
        <v>41.866666666666667</v>
      </c>
      <c r="D61" s="15">
        <v>53.146425969666666</v>
      </c>
      <c r="E61" s="15">
        <v>114.01108178666667</v>
      </c>
      <c r="F61" s="15">
        <v>43.261339270000001</v>
      </c>
      <c r="G61" s="15">
        <v>32.39774053433333</v>
      </c>
      <c r="H61" s="15">
        <v>84.966369006333323</v>
      </c>
      <c r="I61" s="15">
        <v>60.275366651222171</v>
      </c>
      <c r="J61" s="15">
        <v>59.050229650222171</v>
      </c>
      <c r="K61" s="15">
        <v>94.933348322000001</v>
      </c>
      <c r="L61" s="15">
        <v>51.506890588185229</v>
      </c>
      <c r="M61" s="15">
        <v>35.863539487111112</v>
      </c>
      <c r="N61" s="15">
        <v>51.459986955148253</v>
      </c>
      <c r="O61" s="15">
        <v>722.73898488755549</v>
      </c>
      <c r="Q61" s="9"/>
    </row>
    <row r="62" spans="1:81" s="27" customFormat="1" ht="24.75" customHeight="1">
      <c r="A62" s="25"/>
      <c r="B62" s="22" t="s">
        <v>82</v>
      </c>
      <c r="C62" s="23">
        <v>0</v>
      </c>
      <c r="D62" s="23">
        <v>11.279759302999999</v>
      </c>
      <c r="E62" s="23">
        <v>14.644415119999991</v>
      </c>
      <c r="F62" s="23">
        <v>6.1613392699999991</v>
      </c>
      <c r="G62" s="23">
        <v>5.6644072009999995</v>
      </c>
      <c r="H62" s="23">
        <v>3.5396674609999934</v>
      </c>
      <c r="I62" s="23">
        <v>7.1153608380000009</v>
      </c>
      <c r="J62" s="23">
        <v>5.8902238370000006</v>
      </c>
      <c r="K62" s="23">
        <v>9.0133483219999988</v>
      </c>
      <c r="L62" s="23">
        <v>12.460220046000003</v>
      </c>
      <c r="M62" s="23">
        <v>9.1568689449999994</v>
      </c>
      <c r="N62" s="23">
        <v>7.9855302299999948</v>
      </c>
      <c r="O62" s="23">
        <v>92.911140572999969</v>
      </c>
      <c r="P62" s="355"/>
      <c r="Q62" s="338"/>
    </row>
    <row r="63" spans="1:81" s="27" customFormat="1" ht="24.75" hidden="1" customHeight="1">
      <c r="A63" s="25"/>
      <c r="B63" s="43" t="s">
        <v>83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>
        <v>0</v>
      </c>
      <c r="R63" s="338"/>
    </row>
    <row r="64" spans="1:81" s="27" customFormat="1" ht="24.75" customHeight="1">
      <c r="A64" s="25"/>
      <c r="B64" s="43" t="s">
        <v>84</v>
      </c>
      <c r="C64" s="23">
        <v>41.866666666666667</v>
      </c>
      <c r="D64" s="23">
        <v>41.866666666666667</v>
      </c>
      <c r="E64" s="23">
        <v>99.366666666666674</v>
      </c>
      <c r="F64" s="23">
        <v>37.1</v>
      </c>
      <c r="G64" s="23">
        <v>26.733333333333331</v>
      </c>
      <c r="H64" s="23">
        <v>81.42670154533333</v>
      </c>
      <c r="I64" s="23">
        <v>53.16000581322217</v>
      </c>
      <c r="J64" s="23">
        <v>53.16000581322217</v>
      </c>
      <c r="K64" s="23">
        <v>85.92</v>
      </c>
      <c r="L64" s="23">
        <v>39.046670542185225</v>
      </c>
      <c r="M64" s="23">
        <v>26.706670542111112</v>
      </c>
      <c r="N64" s="23">
        <v>43.474456725148258</v>
      </c>
      <c r="O64" s="23">
        <v>629.82784431455548</v>
      </c>
      <c r="P64" s="338"/>
      <c r="Q64" s="338"/>
    </row>
    <row r="65" spans="1:81" ht="24.75" customHeight="1">
      <c r="A65" s="13" t="s">
        <v>85</v>
      </c>
      <c r="B65" s="14" t="s">
        <v>86</v>
      </c>
      <c r="C65" s="15">
        <v>0</v>
      </c>
      <c r="D65" s="15">
        <v>0</v>
      </c>
      <c r="E65" s="15">
        <v>0</v>
      </c>
      <c r="F65" s="15">
        <v>9.9769999999999998E-3</v>
      </c>
      <c r="G65" s="15">
        <v>1.4962E-2</v>
      </c>
      <c r="H65" s="15">
        <v>1.99925E-2</v>
      </c>
      <c r="I65" s="15">
        <v>1.822E-2</v>
      </c>
      <c r="J65" s="15">
        <v>1.0226200000000001</v>
      </c>
      <c r="K65" s="15">
        <v>5.0850000000000001E-3</v>
      </c>
      <c r="L65" s="15">
        <v>0.50587499999999996</v>
      </c>
      <c r="M65" s="15">
        <v>0</v>
      </c>
      <c r="N65" s="15">
        <v>7.2758622999999994E-2</v>
      </c>
      <c r="O65" s="15">
        <v>1.6694901230000001</v>
      </c>
      <c r="Q65" s="9"/>
    </row>
    <row r="66" spans="1:81" ht="24.75" customHeight="1">
      <c r="A66" s="13" t="s">
        <v>87</v>
      </c>
      <c r="B66" s="14" t="s">
        <v>88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3.8182199999999999E-2</v>
      </c>
      <c r="I66" s="15">
        <v>1.175E-2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4.9932199999999996E-2</v>
      </c>
      <c r="P66" s="9"/>
      <c r="Q66" s="9"/>
      <c r="R66" s="9"/>
    </row>
    <row r="67" spans="1:81" ht="24.75" customHeight="1">
      <c r="A67" s="13" t="s">
        <v>89</v>
      </c>
      <c r="B67" s="14" t="s">
        <v>90</v>
      </c>
      <c r="C67" s="15">
        <v>0</v>
      </c>
      <c r="D67" s="15">
        <v>0.5</v>
      </c>
      <c r="E67" s="15">
        <v>0</v>
      </c>
      <c r="F67" s="15">
        <v>1.5</v>
      </c>
      <c r="G67" s="15">
        <v>0</v>
      </c>
      <c r="H67" s="15">
        <v>0</v>
      </c>
      <c r="I67" s="15">
        <v>0</v>
      </c>
      <c r="J67" s="15">
        <v>1</v>
      </c>
      <c r="K67" s="15">
        <v>0</v>
      </c>
      <c r="L67" s="15">
        <v>0</v>
      </c>
      <c r="M67" s="15">
        <v>0</v>
      </c>
      <c r="N67" s="15">
        <v>0</v>
      </c>
      <c r="O67" s="15">
        <v>3</v>
      </c>
      <c r="Q67" s="9"/>
      <c r="R67" s="9"/>
    </row>
    <row r="68" spans="1:81" s="46" customFormat="1" ht="24.75" customHeight="1">
      <c r="A68" s="17" t="s">
        <v>91</v>
      </c>
      <c r="B68" s="44" t="s">
        <v>92</v>
      </c>
      <c r="C68" s="45">
        <v>-190.31908002666984</v>
      </c>
      <c r="D68" s="45">
        <v>-149.34817698315013</v>
      </c>
      <c r="E68" s="45">
        <v>-185.14178312035526</v>
      </c>
      <c r="F68" s="45">
        <v>-123.44417142833319</v>
      </c>
      <c r="G68" s="45">
        <v>24.360308469516596</v>
      </c>
      <c r="H68" s="45">
        <v>19.159939836149945</v>
      </c>
      <c r="I68" s="45">
        <v>-271.81343317619383</v>
      </c>
      <c r="J68" s="45">
        <v>-50.894854367687799</v>
      </c>
      <c r="K68" s="45">
        <v>-111.39912978695004</v>
      </c>
      <c r="L68" s="45">
        <v>-186.99851745807405</v>
      </c>
      <c r="M68" s="45">
        <v>-33.958529972550068</v>
      </c>
      <c r="N68" s="45">
        <v>294.59215615996163</v>
      </c>
      <c r="O68" s="45">
        <v>-965.20527185433571</v>
      </c>
      <c r="P68" s="356"/>
      <c r="Q68" s="357"/>
      <c r="R68" s="35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</row>
    <row r="69" spans="1:81" s="36" customFormat="1" ht="36.75" customHeight="1">
      <c r="A69" s="47"/>
      <c r="B69" s="48" t="s">
        <v>93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345"/>
      <c r="Q69" s="345"/>
      <c r="R69" s="345"/>
    </row>
    <row r="70" spans="1:81" ht="24.75" customHeight="1">
      <c r="A70" s="7" t="s">
        <v>94</v>
      </c>
      <c r="B70" s="10" t="s">
        <v>95</v>
      </c>
      <c r="C70" s="11">
        <v>56.825516761000003</v>
      </c>
      <c r="D70" s="11">
        <v>0.95955919074999996</v>
      </c>
      <c r="E70" s="11">
        <v>-125.65374564</v>
      </c>
      <c r="F70" s="11">
        <v>-94.590985446749997</v>
      </c>
      <c r="G70" s="11">
        <v>101.76195948525</v>
      </c>
      <c r="H70" s="11">
        <v>417.54816931050999</v>
      </c>
      <c r="I70" s="11">
        <v>-329.34316923865003</v>
      </c>
      <c r="J70" s="11">
        <v>217.01262873460001</v>
      </c>
      <c r="K70" s="11">
        <v>-5.9735382230000003</v>
      </c>
      <c r="L70" s="11">
        <v>-98.325737107999998</v>
      </c>
      <c r="M70" s="11">
        <v>-16.406750819999999</v>
      </c>
      <c r="N70" s="11">
        <v>308.67933218399997</v>
      </c>
      <c r="O70" s="11">
        <v>432.49323918971004</v>
      </c>
      <c r="P70" s="9"/>
      <c r="Q70" s="359"/>
      <c r="R70" s="9"/>
    </row>
    <row r="71" spans="1:81" ht="24.75" customHeight="1">
      <c r="A71" s="13" t="s">
        <v>96</v>
      </c>
      <c r="B71" s="14" t="s">
        <v>97</v>
      </c>
      <c r="C71" s="15">
        <v>56.825516761000003</v>
      </c>
      <c r="D71" s="15">
        <v>0.95955919074999996</v>
      </c>
      <c r="E71" s="15">
        <v>-125.65374564</v>
      </c>
      <c r="F71" s="15">
        <v>-94.590985446749997</v>
      </c>
      <c r="G71" s="15">
        <v>101.76195948525</v>
      </c>
      <c r="H71" s="15">
        <v>417.54816931050999</v>
      </c>
      <c r="I71" s="15">
        <v>-329.34316923865003</v>
      </c>
      <c r="J71" s="15">
        <v>217.01262873460001</v>
      </c>
      <c r="K71" s="15">
        <v>-5.9735382230000003</v>
      </c>
      <c r="L71" s="15">
        <v>-98.325737107999998</v>
      </c>
      <c r="M71" s="15">
        <v>-16.406750819999999</v>
      </c>
      <c r="N71" s="15">
        <v>308.67933218399997</v>
      </c>
      <c r="O71" s="15">
        <v>432.49323918971004</v>
      </c>
      <c r="P71" s="360"/>
      <c r="Q71" s="361"/>
    </row>
    <row r="72" spans="1:81" s="27" customFormat="1" ht="24.75" customHeight="1">
      <c r="A72" s="25"/>
      <c r="B72" s="22" t="s">
        <v>98</v>
      </c>
      <c r="C72" s="23">
        <v>53.214516760999999</v>
      </c>
      <c r="D72" s="23">
        <v>-0.56944080924999996</v>
      </c>
      <c r="E72" s="23">
        <v>-128.32470058199999</v>
      </c>
      <c r="F72" s="23">
        <v>-87.980542335750002</v>
      </c>
      <c r="G72" s="23">
        <v>91.32556712025</v>
      </c>
      <c r="H72" s="23">
        <v>373.96005370150999</v>
      </c>
      <c r="I72" s="23">
        <v>-329.77489839865001</v>
      </c>
      <c r="J72" s="23">
        <v>202.8368352366</v>
      </c>
      <c r="K72" s="23">
        <v>-14.435817588000001</v>
      </c>
      <c r="L72" s="23">
        <v>-91.461487094999995</v>
      </c>
      <c r="M72" s="23">
        <v>-9.5885100580000007</v>
      </c>
      <c r="N72" s="23">
        <v>298.82212017900002</v>
      </c>
      <c r="O72" s="23">
        <v>358.02369613171004</v>
      </c>
      <c r="P72" s="338"/>
      <c r="Q72" s="338"/>
      <c r="R72" s="338"/>
    </row>
    <row r="73" spans="1:81" s="27" customFormat="1" ht="24.75" customHeight="1">
      <c r="A73" s="25"/>
      <c r="B73" s="22" t="s">
        <v>99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Q73" s="338"/>
      <c r="R73" s="338"/>
    </row>
    <row r="74" spans="1:81" s="27" customFormat="1" ht="24.75" customHeight="1">
      <c r="A74" s="25"/>
      <c r="B74" s="22" t="s">
        <v>100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27.42329415</v>
      </c>
      <c r="I74" s="23">
        <v>0</v>
      </c>
      <c r="J74" s="23">
        <v>0</v>
      </c>
      <c r="K74" s="23">
        <v>13.55670585</v>
      </c>
      <c r="L74" s="23">
        <v>0</v>
      </c>
      <c r="M74" s="23">
        <v>0</v>
      </c>
      <c r="N74" s="23">
        <v>17.824827024000001</v>
      </c>
      <c r="O74" s="23">
        <v>58.804827024000005</v>
      </c>
      <c r="P74" s="338"/>
      <c r="Q74" s="338"/>
    </row>
    <row r="75" spans="1:81" s="27" customFormat="1" ht="24.75" customHeight="1">
      <c r="A75" s="25"/>
      <c r="B75" s="50" t="s">
        <v>101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27.42329415</v>
      </c>
      <c r="I75" s="23">
        <v>0</v>
      </c>
      <c r="J75" s="23">
        <v>0</v>
      </c>
      <c r="K75" s="23">
        <v>13.55670585</v>
      </c>
      <c r="L75" s="23">
        <v>0</v>
      </c>
      <c r="M75" s="23">
        <v>0</v>
      </c>
      <c r="N75" s="23">
        <v>17.824827024000001</v>
      </c>
      <c r="O75" s="23">
        <v>58.804827024000005</v>
      </c>
      <c r="Q75" s="338"/>
    </row>
    <row r="76" spans="1:81" s="27" customFormat="1" ht="24.75" customHeight="1">
      <c r="A76" s="25"/>
      <c r="B76" s="51" t="s">
        <v>102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23">
        <v>0</v>
      </c>
    </row>
    <row r="77" spans="1:81" s="27" customFormat="1" ht="24.75" customHeight="1">
      <c r="A77" s="25"/>
      <c r="B77" s="22" t="s">
        <v>103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</row>
    <row r="78" spans="1:81" s="27" customFormat="1" ht="24.75" customHeight="1">
      <c r="A78" s="25"/>
      <c r="B78" s="52" t="s">
        <v>104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</row>
    <row r="79" spans="1:81" s="27" customFormat="1" ht="24.75" customHeight="1">
      <c r="A79" s="25"/>
      <c r="B79" s="52" t="s">
        <v>105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</row>
    <row r="80" spans="1:81" s="27" customFormat="1" ht="24.75" customHeight="1">
      <c r="A80" s="25"/>
      <c r="B80" s="52" t="s">
        <v>106</v>
      </c>
      <c r="C80" s="23">
        <v>3.6110000000000002</v>
      </c>
      <c r="D80" s="23">
        <v>1.5289999999999999</v>
      </c>
      <c r="E80" s="23">
        <v>2.6709549419999998</v>
      </c>
      <c r="F80" s="23">
        <v>-6.6104431110000004</v>
      </c>
      <c r="G80" s="23">
        <v>10.436392365</v>
      </c>
      <c r="H80" s="23">
        <v>16.164821458999999</v>
      </c>
      <c r="I80" s="23">
        <v>0.43172916</v>
      </c>
      <c r="J80" s="23">
        <v>14.175793498000001</v>
      </c>
      <c r="K80" s="23">
        <v>-5.0944264849999996</v>
      </c>
      <c r="L80" s="23">
        <v>-6.8642500130000004</v>
      </c>
      <c r="M80" s="23">
        <v>-6.8182407620000003</v>
      </c>
      <c r="N80" s="23">
        <v>-7.9676150190000001</v>
      </c>
      <c r="O80" s="23">
        <v>15.664716034000001</v>
      </c>
    </row>
    <row r="81" spans="1:16" ht="24.75" customHeight="1">
      <c r="A81" s="13" t="s">
        <v>107</v>
      </c>
      <c r="B81" s="14" t="s">
        <v>108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</row>
    <row r="82" spans="1:16" ht="24.75" customHeight="1">
      <c r="A82" s="13" t="s">
        <v>109</v>
      </c>
      <c r="B82" s="14" t="s">
        <v>110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</row>
    <row r="83" spans="1:16" ht="24.75" customHeight="1">
      <c r="A83" s="7" t="s">
        <v>111</v>
      </c>
      <c r="B83" s="10" t="s">
        <v>112</v>
      </c>
      <c r="C83" s="11">
        <v>245.69368511211599</v>
      </c>
      <c r="D83" s="11">
        <v>148.860122354</v>
      </c>
      <c r="E83" s="11">
        <v>59.694056026323032</v>
      </c>
      <c r="F83" s="11">
        <v>26.953829972333324</v>
      </c>
      <c r="G83" s="11">
        <v>79.421847955333334</v>
      </c>
      <c r="H83" s="11">
        <v>399.37971194500994</v>
      </c>
      <c r="I83" s="11">
        <v>-55.576921935050066</v>
      </c>
      <c r="J83" s="11">
        <v>269.29647177505547</v>
      </c>
      <c r="K83" s="11">
        <v>105.20356293899999</v>
      </c>
      <c r="L83" s="11">
        <v>88.090348537074107</v>
      </c>
      <c r="M83" s="11">
        <v>15.484153925000008</v>
      </c>
      <c r="N83" s="11">
        <v>12.919848255148253</v>
      </c>
      <c r="O83" s="11">
        <v>1395.4207168613434</v>
      </c>
    </row>
    <row r="84" spans="1:16" ht="24.75" customHeight="1">
      <c r="A84" s="13" t="s">
        <v>113</v>
      </c>
      <c r="B84" s="14" t="s">
        <v>97</v>
      </c>
      <c r="C84" s="15">
        <v>197.712506627175</v>
      </c>
      <c r="D84" s="15">
        <v>65.135321353999998</v>
      </c>
      <c r="E84" s="15">
        <v>-58.673384503000001</v>
      </c>
      <c r="F84" s="15">
        <v>41.180896638999997</v>
      </c>
      <c r="G84" s="15">
        <v>69.6518633811</v>
      </c>
      <c r="H84" s="15">
        <v>-73.999421878000007</v>
      </c>
      <c r="I84" s="15">
        <v>-65.960854619825</v>
      </c>
      <c r="J84" s="15">
        <v>229.59023377499997</v>
      </c>
      <c r="K84" s="15">
        <v>0.54233103636000024</v>
      </c>
      <c r="L84" s="15">
        <v>67.941148536999989</v>
      </c>
      <c r="M84" s="15">
        <v>-43.740465708899997</v>
      </c>
      <c r="N84" s="15">
        <v>-64.970182033</v>
      </c>
      <c r="O84" s="15">
        <v>364.40999260690995</v>
      </c>
      <c r="P84" s="9"/>
    </row>
    <row r="85" spans="1:16" s="366" customFormat="1" ht="24.75" customHeight="1">
      <c r="A85" s="362"/>
      <c r="B85" s="363" t="s">
        <v>114</v>
      </c>
      <c r="C85" s="364">
        <v>31.898608800174998</v>
      </c>
      <c r="D85" s="364">
        <v>28.008769999999998</v>
      </c>
      <c r="E85" s="364">
        <v>-3.2450125000000001</v>
      </c>
      <c r="F85" s="364">
        <v>45.283009999999997</v>
      </c>
      <c r="G85" s="364">
        <v>-5.4082572408999994</v>
      </c>
      <c r="H85" s="364">
        <v>0</v>
      </c>
      <c r="I85" s="364">
        <v>-7.435466199825</v>
      </c>
      <c r="J85" s="364">
        <v>-4.7482499999999996</v>
      </c>
      <c r="K85" s="364">
        <v>15.13613794736</v>
      </c>
      <c r="L85" s="364">
        <v>-10.809200000000001</v>
      </c>
      <c r="M85" s="364">
        <v>14.591742759099999</v>
      </c>
      <c r="N85" s="364">
        <v>36.88796</v>
      </c>
      <c r="O85" s="364">
        <v>140.16004356590997</v>
      </c>
      <c r="P85" s="365"/>
    </row>
    <row r="86" spans="1:16" s="30" customFormat="1" ht="24.75" customHeight="1">
      <c r="A86" s="53"/>
      <c r="B86" s="22" t="s">
        <v>115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</row>
    <row r="87" spans="1:16" s="30" customFormat="1" ht="24.75" customHeight="1">
      <c r="A87" s="53"/>
      <c r="B87" s="22" t="s">
        <v>116</v>
      </c>
      <c r="C87" s="23">
        <v>0</v>
      </c>
      <c r="D87" s="23">
        <v>0</v>
      </c>
      <c r="E87" s="23">
        <v>0</v>
      </c>
      <c r="F87" s="23">
        <v>39.25</v>
      </c>
      <c r="G87" s="23">
        <v>0</v>
      </c>
      <c r="H87" s="23">
        <v>0</v>
      </c>
      <c r="I87" s="23">
        <v>0</v>
      </c>
      <c r="J87" s="23">
        <v>-4.7482499999999996</v>
      </c>
      <c r="K87" s="23">
        <v>0</v>
      </c>
      <c r="L87" s="23">
        <v>-10.809200000000001</v>
      </c>
      <c r="M87" s="23">
        <v>0</v>
      </c>
      <c r="N87" s="23">
        <v>0</v>
      </c>
      <c r="O87" s="23">
        <v>23.692550000000001</v>
      </c>
    </row>
    <row r="88" spans="1:16" s="30" customFormat="1" ht="24.75" customHeight="1">
      <c r="A88" s="53"/>
      <c r="B88" s="22" t="s">
        <v>117</v>
      </c>
      <c r="C88" s="23">
        <v>-2.4454661998249998</v>
      </c>
      <c r="D88" s="23">
        <v>0</v>
      </c>
      <c r="E88" s="23">
        <v>0</v>
      </c>
      <c r="F88" s="23">
        <v>0</v>
      </c>
      <c r="G88" s="23">
        <v>-5.4082572408999994</v>
      </c>
      <c r="H88" s="23">
        <v>0</v>
      </c>
      <c r="I88" s="23">
        <v>-2.4454661998249998</v>
      </c>
      <c r="J88" s="23">
        <v>0</v>
      </c>
      <c r="K88" s="23">
        <v>0</v>
      </c>
      <c r="L88" s="23">
        <v>0</v>
      </c>
      <c r="M88" s="23">
        <v>-5.4082572409000003</v>
      </c>
      <c r="N88" s="23">
        <v>0</v>
      </c>
      <c r="O88" s="56">
        <v>-15.70744688145</v>
      </c>
    </row>
    <row r="89" spans="1:16" s="30" customFormat="1" ht="24.75" customHeight="1">
      <c r="A89" s="53"/>
      <c r="B89" s="22" t="s">
        <v>118</v>
      </c>
      <c r="C89" s="23">
        <v>41.853200000000001</v>
      </c>
      <c r="D89" s="23">
        <v>28.008769999999998</v>
      </c>
      <c r="E89" s="23">
        <v>-3.2450125000000001</v>
      </c>
      <c r="F89" s="23">
        <v>6.03301</v>
      </c>
      <c r="G89" s="23">
        <v>0</v>
      </c>
      <c r="H89" s="23">
        <v>0</v>
      </c>
      <c r="I89" s="23">
        <v>0</v>
      </c>
      <c r="J89" s="23">
        <v>0</v>
      </c>
      <c r="K89" s="23">
        <v>15.13613794736</v>
      </c>
      <c r="L89" s="23">
        <v>0</v>
      </c>
      <c r="M89" s="23">
        <v>20</v>
      </c>
      <c r="N89" s="23">
        <v>36.88796</v>
      </c>
      <c r="O89" s="23">
        <v>144.67406544735999</v>
      </c>
    </row>
    <row r="90" spans="1:16" s="30" customFormat="1" ht="24.75" customHeight="1">
      <c r="A90" s="53"/>
      <c r="B90" s="22" t="s">
        <v>119</v>
      </c>
      <c r="C90" s="23">
        <v>-7.509125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-4.99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-12.499124999999999</v>
      </c>
    </row>
    <row r="91" spans="1:16" s="30" customFormat="1" ht="24.75" customHeight="1">
      <c r="A91" s="53"/>
      <c r="B91" s="54" t="s">
        <v>120</v>
      </c>
      <c r="C91" s="55">
        <v>0</v>
      </c>
      <c r="D91" s="55">
        <v>-13.305961612000001</v>
      </c>
      <c r="E91" s="55">
        <v>0</v>
      </c>
      <c r="F91" s="55">
        <v>0</v>
      </c>
      <c r="G91" s="55">
        <v>0</v>
      </c>
      <c r="H91" s="55">
        <v>-4.4941412080000003</v>
      </c>
      <c r="I91" s="55">
        <v>0</v>
      </c>
      <c r="J91" s="55">
        <v>246.27699999999999</v>
      </c>
      <c r="K91" s="55">
        <v>0</v>
      </c>
      <c r="L91" s="55">
        <v>0</v>
      </c>
      <c r="M91" s="55">
        <v>0</v>
      </c>
      <c r="N91" s="55">
        <v>-5.449331087</v>
      </c>
      <c r="O91" s="55">
        <v>223.02756609299999</v>
      </c>
    </row>
    <row r="92" spans="1:16" s="30" customFormat="1" ht="24.75" customHeight="1">
      <c r="A92" s="53"/>
      <c r="B92" s="22" t="s">
        <v>121</v>
      </c>
      <c r="C92" s="23">
        <v>0</v>
      </c>
      <c r="D92" s="23">
        <v>-13.305961612000001</v>
      </c>
      <c r="E92" s="23">
        <v>0</v>
      </c>
      <c r="F92" s="23">
        <v>0</v>
      </c>
      <c r="G92" s="23">
        <v>0</v>
      </c>
      <c r="H92" s="23">
        <v>-4.4941412080000003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-5.449331087</v>
      </c>
      <c r="O92" s="23">
        <v>-23.249433907</v>
      </c>
    </row>
    <row r="93" spans="1:16" s="30" customFormat="1" ht="24.75" customHeight="1">
      <c r="A93" s="53"/>
      <c r="B93" s="22" t="s">
        <v>122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/>
      <c r="K93" s="23">
        <v>0</v>
      </c>
      <c r="L93" s="23">
        <v>0</v>
      </c>
      <c r="M93" s="23">
        <v>0</v>
      </c>
      <c r="N93" s="23">
        <v>0</v>
      </c>
      <c r="O93" s="23">
        <v>0</v>
      </c>
    </row>
    <row r="94" spans="1:16" s="30" customFormat="1" ht="24.75" customHeight="1">
      <c r="A94" s="53"/>
      <c r="B94" s="22" t="s">
        <v>123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</row>
    <row r="95" spans="1:16" s="30" customFormat="1" ht="24.75" customHeight="1">
      <c r="A95" s="53"/>
      <c r="B95" s="22" t="s">
        <v>124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246.27699999999999</v>
      </c>
      <c r="K95" s="23">
        <v>0</v>
      </c>
      <c r="L95" s="23">
        <v>0</v>
      </c>
      <c r="M95" s="23">
        <v>0</v>
      </c>
      <c r="N95" s="23">
        <v>0</v>
      </c>
      <c r="O95" s="23">
        <v>246.27699999999999</v>
      </c>
      <c r="P95" s="30">
        <f>170/15000</f>
        <v>1.1333333333333334E-2</v>
      </c>
    </row>
    <row r="96" spans="1:16" s="30" customFormat="1" ht="24.75" customHeight="1">
      <c r="A96" s="53"/>
      <c r="B96" s="22" t="s">
        <v>125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</row>
    <row r="97" spans="1:17" s="58" customFormat="1" ht="24.75" customHeight="1">
      <c r="A97" s="57"/>
      <c r="B97" s="22" t="s">
        <v>126</v>
      </c>
      <c r="C97" s="23">
        <v>165.81389782700001</v>
      </c>
      <c r="D97" s="23">
        <v>50.432512965999997</v>
      </c>
      <c r="E97" s="23">
        <v>-55.428372003</v>
      </c>
      <c r="F97" s="23">
        <v>-4.1021133609999998</v>
      </c>
      <c r="G97" s="23">
        <v>75.060120621999999</v>
      </c>
      <c r="H97" s="23">
        <v>-69.505280670000005</v>
      </c>
      <c r="I97" s="23">
        <v>-58.525388419999999</v>
      </c>
      <c r="J97" s="23">
        <v>-11.938516225000001</v>
      </c>
      <c r="K97" s="23">
        <v>-14.593806911</v>
      </c>
      <c r="L97" s="23">
        <v>78.750348536999994</v>
      </c>
      <c r="M97" s="23">
        <v>-58.332208467999997</v>
      </c>
      <c r="N97" s="23">
        <v>-96.408810946000003</v>
      </c>
      <c r="O97" s="23">
        <v>1.222382947999975</v>
      </c>
    </row>
    <row r="98" spans="1:17" s="30" customFormat="1" ht="24.75" customHeight="1">
      <c r="A98" s="53"/>
      <c r="B98" s="50" t="s">
        <v>127</v>
      </c>
      <c r="C98" s="23">
        <v>77.896948523999995</v>
      </c>
      <c r="D98" s="23">
        <v>-20.669181079000001</v>
      </c>
      <c r="E98" s="23">
        <v>-47.498570743000002</v>
      </c>
      <c r="F98" s="23">
        <v>15.433370167</v>
      </c>
      <c r="G98" s="23">
        <v>-11.068309347</v>
      </c>
      <c r="H98" s="23">
        <v>-6.6903709249999999</v>
      </c>
      <c r="I98" s="23">
        <v>13.599387229</v>
      </c>
      <c r="J98" s="23">
        <v>-6.5088863330000004</v>
      </c>
      <c r="K98" s="23">
        <v>-2.6792602579999998</v>
      </c>
      <c r="L98" s="23">
        <v>0.89449600399999996</v>
      </c>
      <c r="M98" s="23">
        <v>7.1003767609999997</v>
      </c>
      <c r="N98" s="23">
        <v>-18.801313059000002</v>
      </c>
      <c r="O98" s="23">
        <v>1.008686940999997</v>
      </c>
    </row>
    <row r="99" spans="1:17" s="59" customFormat="1" ht="24.75" customHeight="1">
      <c r="A99" s="17"/>
      <c r="B99" s="50" t="s">
        <v>128</v>
      </c>
      <c r="C99" s="367">
        <v>89.883595101000012</v>
      </c>
      <c r="D99" s="367">
        <v>74.51527298900001</v>
      </c>
      <c r="E99" s="367">
        <v>-13.984183931</v>
      </c>
      <c r="F99" s="367">
        <v>-68.940023701000001</v>
      </c>
      <c r="G99" s="367">
        <v>102.99348164499999</v>
      </c>
      <c r="H99" s="367">
        <v>-45.676780442999998</v>
      </c>
      <c r="I99" s="367">
        <v>-56.893367541999986</v>
      </c>
      <c r="J99" s="367">
        <v>-20.819922105</v>
      </c>
      <c r="K99" s="367">
        <v>-10.449481887999999</v>
      </c>
      <c r="L99" s="367">
        <v>74.999120886</v>
      </c>
      <c r="M99" s="367">
        <v>-68.153081950000001</v>
      </c>
      <c r="N99" s="367">
        <v>-51.122216440000003</v>
      </c>
      <c r="O99" s="19">
        <v>6.3524126209999991</v>
      </c>
      <c r="P99" s="368"/>
      <c r="Q99" s="368"/>
    </row>
    <row r="100" spans="1:17" s="20" customFormat="1" ht="24.75" customHeight="1">
      <c r="A100" s="17"/>
      <c r="B100" s="50" t="s">
        <v>129</v>
      </c>
      <c r="C100" s="369">
        <v>0.66540253199999999</v>
      </c>
      <c r="D100" s="369">
        <v>0.65820504599999996</v>
      </c>
      <c r="E100" s="369">
        <v>0.66254505100000005</v>
      </c>
      <c r="F100" s="19">
        <v>0.65742821399999996</v>
      </c>
      <c r="G100" s="19">
        <v>0.63688269500000005</v>
      </c>
      <c r="H100" s="19">
        <v>0.67606615299999995</v>
      </c>
      <c r="I100" s="19">
        <v>0.68690466299999997</v>
      </c>
      <c r="J100" s="19">
        <v>0.68165468299999998</v>
      </c>
      <c r="K100" s="19">
        <v>0.67376665099999999</v>
      </c>
      <c r="L100" s="19">
        <v>0.720217985</v>
      </c>
      <c r="M100" s="19">
        <v>0.69542030899999996</v>
      </c>
      <c r="N100" s="19">
        <v>0.69679138399999996</v>
      </c>
      <c r="O100" s="19">
        <v>8.1112853660000006</v>
      </c>
    </row>
    <row r="101" spans="1:17" ht="24.75" customHeight="1">
      <c r="A101" s="13" t="s">
        <v>130</v>
      </c>
      <c r="B101" s="14" t="s">
        <v>108</v>
      </c>
      <c r="C101" s="15">
        <v>47.981178484940983</v>
      </c>
      <c r="D101" s="15">
        <v>83.724800999999999</v>
      </c>
      <c r="E101" s="15">
        <v>118.36744052932303</v>
      </c>
      <c r="F101" s="15">
        <v>-14.227066666666673</v>
      </c>
      <c r="G101" s="15">
        <v>9.769984574233332</v>
      </c>
      <c r="H101" s="15">
        <v>473.37913382300997</v>
      </c>
      <c r="I101" s="15">
        <v>10.383932684774937</v>
      </c>
      <c r="J101" s="15">
        <v>39.7062380000555</v>
      </c>
      <c r="K101" s="15">
        <v>104.66123190264</v>
      </c>
      <c r="L101" s="15">
        <v>20.149200000074117</v>
      </c>
      <c r="M101" s="15">
        <v>59.224619633900005</v>
      </c>
      <c r="N101" s="15">
        <v>77.890030288148253</v>
      </c>
      <c r="O101" s="15">
        <v>1031.0107242544334</v>
      </c>
    </row>
    <row r="102" spans="1:17" s="30" customFormat="1" ht="24.75" customHeight="1">
      <c r="A102" s="53"/>
      <c r="B102" s="60" t="s">
        <v>131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</row>
    <row r="103" spans="1:17" s="30" customFormat="1" ht="24.75" customHeight="1">
      <c r="A103" s="53"/>
      <c r="B103" s="60" t="s">
        <v>132</v>
      </c>
      <c r="C103" s="23">
        <v>31.217817449825002</v>
      </c>
      <c r="D103" s="23">
        <v>54.491230000000002</v>
      </c>
      <c r="E103" s="23">
        <v>44.2000125</v>
      </c>
      <c r="F103" s="23">
        <v>64.716989999999996</v>
      </c>
      <c r="G103" s="23">
        <v>-12.0581087591</v>
      </c>
      <c r="H103" s="23">
        <v>287.17632054000995</v>
      </c>
      <c r="I103" s="23">
        <v>-9.2481075501749999</v>
      </c>
      <c r="J103" s="23">
        <v>4.7482499999999996</v>
      </c>
      <c r="K103" s="23">
        <v>33.41138805264</v>
      </c>
      <c r="L103" s="23">
        <v>5.8091999999999997</v>
      </c>
      <c r="M103" s="23">
        <v>22.941891240900002</v>
      </c>
      <c r="N103" s="23">
        <v>38.484999999999999</v>
      </c>
      <c r="O103" s="23">
        <v>565.89188347409993</v>
      </c>
    </row>
    <row r="104" spans="1:17" s="62" customFormat="1" ht="24.75" customHeight="1">
      <c r="A104" s="61"/>
      <c r="B104" s="60" t="s">
        <v>133</v>
      </c>
      <c r="C104" s="23">
        <v>0</v>
      </c>
      <c r="D104" s="23">
        <v>0</v>
      </c>
      <c r="E104" s="23">
        <v>0</v>
      </c>
      <c r="F104" s="23">
        <v>15.75</v>
      </c>
      <c r="G104" s="23">
        <v>0</v>
      </c>
      <c r="H104" s="23">
        <v>0</v>
      </c>
      <c r="I104" s="23">
        <v>0</v>
      </c>
      <c r="J104" s="23">
        <v>4.7482499999999996</v>
      </c>
      <c r="K104" s="23">
        <v>0</v>
      </c>
      <c r="L104" s="23">
        <v>5.8091999999999997</v>
      </c>
      <c r="M104" s="23">
        <v>35</v>
      </c>
      <c r="N104" s="23">
        <v>0</v>
      </c>
      <c r="O104" s="23">
        <v>61.307450000000003</v>
      </c>
    </row>
    <row r="105" spans="1:17" s="62" customFormat="1" ht="24.75" customHeight="1">
      <c r="A105" s="61"/>
      <c r="B105" s="60" t="s">
        <v>134</v>
      </c>
      <c r="C105" s="23">
        <v>37.946800000000003</v>
      </c>
      <c r="D105" s="23">
        <v>54.491230000000002</v>
      </c>
      <c r="E105" s="23">
        <v>44.2000125</v>
      </c>
      <c r="F105" s="23">
        <v>48.966990000000003</v>
      </c>
      <c r="G105" s="23">
        <v>0</v>
      </c>
      <c r="H105" s="23">
        <v>0</v>
      </c>
      <c r="I105" s="23">
        <v>0</v>
      </c>
      <c r="J105" s="23">
        <v>0</v>
      </c>
      <c r="K105" s="23">
        <v>33.41138805264</v>
      </c>
      <c r="L105" s="23">
        <v>0</v>
      </c>
      <c r="M105" s="23">
        <v>0</v>
      </c>
      <c r="N105" s="23">
        <v>38.484999999999999</v>
      </c>
      <c r="O105" s="23">
        <v>257.50142055264001</v>
      </c>
    </row>
    <row r="106" spans="1:17" s="27" customFormat="1" ht="24.75" customHeight="1">
      <c r="A106" s="25"/>
      <c r="B106" s="14" t="s">
        <v>135</v>
      </c>
      <c r="C106" s="23">
        <v>-1.7381075501750003</v>
      </c>
      <c r="D106" s="23">
        <v>0</v>
      </c>
      <c r="E106" s="23">
        <v>0</v>
      </c>
      <c r="F106" s="23">
        <v>0</v>
      </c>
      <c r="G106" s="23">
        <v>-12.0581087591</v>
      </c>
      <c r="H106" s="23">
        <v>0</v>
      </c>
      <c r="I106" s="23">
        <v>-1.7381075501750003</v>
      </c>
      <c r="J106" s="23">
        <v>0</v>
      </c>
      <c r="K106" s="23">
        <v>0</v>
      </c>
      <c r="L106" s="23">
        <v>0</v>
      </c>
      <c r="M106" s="23">
        <v>-12.058108759099998</v>
      </c>
      <c r="N106" s="23">
        <v>0</v>
      </c>
      <c r="O106" s="23">
        <v>-27.592432618549999</v>
      </c>
    </row>
    <row r="107" spans="1:17" s="38" customFormat="1" ht="24.75" customHeight="1">
      <c r="A107" s="25"/>
      <c r="B107" s="14" t="s">
        <v>136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287.17632054000995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287.17632054000995</v>
      </c>
    </row>
    <row r="108" spans="1:17" s="38" customFormat="1" ht="24.75" customHeight="1">
      <c r="A108" s="25"/>
      <c r="B108" s="14" t="s">
        <v>137</v>
      </c>
      <c r="C108" s="23">
        <v>-4.990875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-7.51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-12.500875000000001</v>
      </c>
    </row>
    <row r="109" spans="1:17" s="30" customFormat="1" ht="24.75" customHeight="1">
      <c r="A109" s="53"/>
      <c r="B109" s="14" t="s">
        <v>138</v>
      </c>
      <c r="C109" s="23">
        <v>16.763361035115977</v>
      </c>
      <c r="D109" s="23">
        <v>29.233571000000001</v>
      </c>
      <c r="E109" s="23">
        <v>74.167428029323034</v>
      </c>
      <c r="F109" s="23">
        <v>-78.944056666666668</v>
      </c>
      <c r="G109" s="23">
        <v>21.828093333333332</v>
      </c>
      <c r="H109" s="23">
        <v>186.20281328300001</v>
      </c>
      <c r="I109" s="23">
        <v>19.632040234949937</v>
      </c>
      <c r="J109" s="23">
        <v>34.957988000055501</v>
      </c>
      <c r="K109" s="23">
        <v>71.249843850000005</v>
      </c>
      <c r="L109" s="23">
        <v>14.340000000074117</v>
      </c>
      <c r="M109" s="23">
        <v>36.282728392999999</v>
      </c>
      <c r="N109" s="23">
        <v>39.405030288148254</v>
      </c>
      <c r="O109" s="23">
        <v>465.11884078033347</v>
      </c>
      <c r="P109" s="339"/>
    </row>
    <row r="110" spans="1:17" s="27" customFormat="1" ht="24.75" customHeight="1">
      <c r="A110" s="25"/>
      <c r="B110" s="22" t="s">
        <v>139</v>
      </c>
      <c r="C110" s="23">
        <v>0</v>
      </c>
      <c r="D110" s="23">
        <v>0</v>
      </c>
      <c r="E110" s="23">
        <v>0</v>
      </c>
      <c r="F110" s="23">
        <v>0</v>
      </c>
      <c r="G110" s="23">
        <v>12</v>
      </c>
      <c r="H110" s="23">
        <v>100.49747480000001</v>
      </c>
      <c r="I110" s="23">
        <v>0</v>
      </c>
      <c r="J110" s="23">
        <v>0</v>
      </c>
      <c r="K110" s="23">
        <v>0</v>
      </c>
      <c r="L110" s="23">
        <v>0</v>
      </c>
      <c r="M110" s="23">
        <v>31.409779393000001</v>
      </c>
      <c r="N110" s="23">
        <v>27.060021264</v>
      </c>
      <c r="O110" s="23">
        <v>170.967275457</v>
      </c>
    </row>
    <row r="111" spans="1:17" s="27" customFormat="1" ht="24.75" customHeight="1">
      <c r="A111" s="25"/>
      <c r="B111" s="22" t="s">
        <v>140</v>
      </c>
      <c r="C111" s="23">
        <v>38.4</v>
      </c>
      <c r="D111" s="23">
        <v>38.4</v>
      </c>
      <c r="E111" s="23">
        <v>95.9</v>
      </c>
      <c r="F111" s="23">
        <v>19.233333333333331</v>
      </c>
      <c r="G111" s="23">
        <v>19.233333333333331</v>
      </c>
      <c r="H111" s="23">
        <v>71.533333333000002</v>
      </c>
      <c r="I111" s="23">
        <v>45.550000000055505</v>
      </c>
      <c r="J111" s="23">
        <v>45.550000000055505</v>
      </c>
      <c r="K111" s="23">
        <v>80.599999999999994</v>
      </c>
      <c r="L111" s="23">
        <v>32.200000000074112</v>
      </c>
      <c r="M111" s="23">
        <v>19.86</v>
      </c>
      <c r="N111" s="23">
        <v>9.8600000001482542</v>
      </c>
      <c r="O111" s="35">
        <v>516.31999999999994</v>
      </c>
      <c r="P111" s="370"/>
      <c r="Q111" s="370"/>
    </row>
    <row r="112" spans="1:17" s="27" customFormat="1" ht="24.75" customHeight="1">
      <c r="A112" s="25"/>
      <c r="B112" s="22" t="s">
        <v>141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27.42329415</v>
      </c>
      <c r="I112" s="23">
        <v>0</v>
      </c>
      <c r="J112" s="23">
        <v>0</v>
      </c>
      <c r="K112" s="23">
        <v>13.55670585</v>
      </c>
      <c r="L112" s="23">
        <v>0</v>
      </c>
      <c r="M112" s="23">
        <v>0</v>
      </c>
      <c r="N112" s="23">
        <v>17.824827024000001</v>
      </c>
      <c r="O112" s="23">
        <v>58.804827024000005</v>
      </c>
    </row>
    <row r="113" spans="1:15" s="27" customFormat="1" ht="24.75" customHeight="1">
      <c r="A113" s="25"/>
      <c r="B113" s="22" t="s">
        <v>142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</row>
    <row r="114" spans="1:15" s="27" customFormat="1" ht="24.75" customHeight="1">
      <c r="A114" s="25"/>
      <c r="B114" s="22" t="s">
        <v>143</v>
      </c>
      <c r="C114" s="23">
        <v>-21.636638964884021</v>
      </c>
      <c r="D114" s="23">
        <v>-9.1664290000000008</v>
      </c>
      <c r="E114" s="23">
        <v>-21.732571970676975</v>
      </c>
      <c r="F114" s="23">
        <v>-98.177390000000003</v>
      </c>
      <c r="G114" s="23">
        <v>-9.4052399999999992</v>
      </c>
      <c r="H114" s="23">
        <v>-13.251289</v>
      </c>
      <c r="I114" s="23">
        <v>-25.917959765105568</v>
      </c>
      <c r="J114" s="23">
        <v>-10.592012000000002</v>
      </c>
      <c r="K114" s="23">
        <v>-22.906862</v>
      </c>
      <c r="L114" s="23">
        <v>-17.86</v>
      </c>
      <c r="M114" s="23">
        <v>-14.987050999999999</v>
      </c>
      <c r="N114" s="23">
        <v>-15.339817999999999</v>
      </c>
      <c r="O114" s="23">
        <v>-280.97326170066651</v>
      </c>
    </row>
    <row r="115" spans="1:15" s="38" customFormat="1" ht="24.75" customHeight="1">
      <c r="A115" s="25"/>
      <c r="B115" s="22" t="s">
        <v>144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</row>
    <row r="116" spans="1:15" s="38" customFormat="1" ht="24.75" customHeight="1">
      <c r="A116" s="25"/>
      <c r="B116" s="22" t="s">
        <v>145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</row>
    <row r="117" spans="1:15" s="30" customFormat="1" ht="24.75" customHeight="1">
      <c r="A117" s="53"/>
      <c r="B117" s="60" t="s">
        <v>146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</row>
    <row r="118" spans="1:15" ht="19.5" customHeight="1">
      <c r="A118" s="371" t="s">
        <v>147</v>
      </c>
      <c r="B118" s="371"/>
      <c r="C118" s="11">
        <v>-1.4509116755538685</v>
      </c>
      <c r="D118" s="11">
        <v>-1.4476138199001412</v>
      </c>
      <c r="E118" s="11">
        <v>0.20601854596777258</v>
      </c>
      <c r="F118" s="11">
        <v>-1.8993560092498711</v>
      </c>
      <c r="G118" s="11">
        <v>2.0201969395999271</v>
      </c>
      <c r="H118" s="11">
        <v>0.99148247064988482</v>
      </c>
      <c r="I118" s="11">
        <v>1.9528141274061426</v>
      </c>
      <c r="J118" s="11">
        <v>1.3889886727676526</v>
      </c>
      <c r="K118" s="11">
        <v>-0.22202862495004183</v>
      </c>
      <c r="L118" s="11">
        <v>-0.58243181299994262</v>
      </c>
      <c r="M118" s="11">
        <v>-2.0676252275500602</v>
      </c>
      <c r="N118" s="11">
        <v>-1.1673277688900896</v>
      </c>
      <c r="O118" s="11">
        <v>-2.2777941827023369</v>
      </c>
    </row>
    <row r="119" spans="1:15" ht="12" customHeight="1">
      <c r="A119" s="63" t="s">
        <v>148</v>
      </c>
      <c r="B119" s="64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3"/>
    </row>
    <row r="120" spans="1:15">
      <c r="A120" s="63" t="s">
        <v>149</v>
      </c>
      <c r="B120" s="64"/>
      <c r="C120" s="374"/>
      <c r="D120" s="374"/>
      <c r="E120" s="374"/>
      <c r="F120" s="374"/>
      <c r="G120" s="374"/>
      <c r="H120" s="374" t="s">
        <v>681</v>
      </c>
      <c r="I120" s="374"/>
      <c r="J120" s="374"/>
      <c r="K120" s="374"/>
      <c r="L120" s="374"/>
      <c r="M120" s="374"/>
      <c r="N120" s="374"/>
      <c r="O120" s="9"/>
    </row>
    <row r="121" spans="1:15" ht="10.5" customHeight="1">
      <c r="A121" s="65" t="s">
        <v>150</v>
      </c>
      <c r="B121" s="64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</row>
    <row r="122" spans="1:15">
      <c r="N122" t="s">
        <v>192</v>
      </c>
    </row>
    <row r="123" spans="1:15">
      <c r="D123" s="376"/>
    </row>
    <row r="124" spans="1:15">
      <c r="D124" s="9"/>
      <c r="E124" s="9"/>
    </row>
    <row r="125" spans="1:15">
      <c r="D125" s="376"/>
    </row>
    <row r="126" spans="1:15">
      <c r="D126" s="9"/>
      <c r="G126" t="s">
        <v>682</v>
      </c>
      <c r="H126" t="s">
        <v>683</v>
      </c>
    </row>
    <row r="127" spans="1:15">
      <c r="D127" s="377"/>
    </row>
    <row r="128" spans="1:15">
      <c r="D128" s="9"/>
    </row>
    <row r="129" spans="4:4">
      <c r="D129" s="9"/>
    </row>
  </sheetData>
  <autoFilter ref="A1:O131" xr:uid="{00000000-0009-0000-0000-000000000000}"/>
  <mergeCells count="2">
    <mergeCell ref="B3:O3"/>
    <mergeCell ref="A4:B4"/>
  </mergeCells>
  <pageMargins left="0.70866141732283472" right="0.70866141732283472" top="0.74803149606299213" bottom="1.3385826771653544" header="0.31496062992125984" footer="0.31496062992125984"/>
  <pageSetup paperSize="9" scale="35" orientation="portrait" r:id="rId1"/>
  <rowBreaks count="1" manualBreakCount="1">
    <brk id="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CC120"/>
  <sheetViews>
    <sheetView topLeftCell="A4" zoomScale="75" zoomScaleNormal="75" zoomScalePageLayoutView="117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F29" sqref="F29"/>
    </sheetView>
  </sheetViews>
  <sheetFormatPr baseColWidth="10" defaultColWidth="9.1640625" defaultRowHeight="13"/>
  <cols>
    <col min="1" max="1" width="12.33203125" customWidth="1"/>
    <col min="2" max="2" width="74.33203125" customWidth="1"/>
    <col min="3" max="3" width="15.33203125" customWidth="1"/>
    <col min="4" max="5" width="13.5" customWidth="1"/>
    <col min="6" max="6" width="16.83203125" customWidth="1"/>
    <col min="7" max="34" width="11.33203125" customWidth="1"/>
  </cols>
  <sheetData>
    <row r="1" spans="1:81" ht="19.5" customHeight="1">
      <c r="A1" s="1" t="s">
        <v>0</v>
      </c>
      <c r="B1" s="2"/>
      <c r="C1" s="3"/>
    </row>
    <row r="2" spans="1:81" ht="19.5" customHeight="1">
      <c r="A2" s="1" t="s">
        <v>1</v>
      </c>
      <c r="B2" s="2"/>
      <c r="C2" s="4"/>
    </row>
    <row r="3" spans="1:81" ht="30.75" customHeight="1">
      <c r="A3" s="5" t="s">
        <v>2</v>
      </c>
      <c r="B3" s="506" t="s">
        <v>3</v>
      </c>
      <c r="C3" s="508"/>
      <c r="CC3" t="e">
        <f>CB3/CA3-1</f>
        <v>#DIV/0!</v>
      </c>
    </row>
    <row r="4" spans="1:81" ht="51">
      <c r="A4" s="509"/>
      <c r="B4" s="510"/>
      <c r="C4" s="6" t="s">
        <v>4</v>
      </c>
      <c r="D4" s="6" t="s">
        <v>564</v>
      </c>
      <c r="E4" s="6" t="s">
        <v>565</v>
      </c>
    </row>
    <row r="5" spans="1:81" ht="16">
      <c r="A5" s="7"/>
      <c r="B5" s="512" t="s">
        <v>5</v>
      </c>
      <c r="C5" s="513"/>
      <c r="D5" s="513"/>
      <c r="E5" s="513"/>
    </row>
    <row r="6" spans="1:81" s="12" customFormat="1" ht="16">
      <c r="A6" s="7" t="s">
        <v>6</v>
      </c>
      <c r="B6" s="10" t="s">
        <v>7</v>
      </c>
      <c r="C6" s="11">
        <v>2842.7383009809996</v>
      </c>
      <c r="D6" s="11">
        <v>487.90362285599997</v>
      </c>
      <c r="E6" s="11">
        <v>1278.8523024836895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81" ht="24.75" customHeight="1">
      <c r="A7" s="13" t="s">
        <v>8</v>
      </c>
      <c r="B7" s="14" t="s">
        <v>9</v>
      </c>
      <c r="C7" s="16">
        <v>2368.203899786</v>
      </c>
      <c r="D7" s="16">
        <v>460.41323274499996</v>
      </c>
      <c r="E7" s="16">
        <v>1144.1928675796894</v>
      </c>
      <c r="F7" s="9"/>
    </row>
    <row r="8" spans="1:81" s="20" customFormat="1" ht="24.75" customHeight="1">
      <c r="A8" s="17" t="s">
        <v>10</v>
      </c>
      <c r="B8" s="18" t="s">
        <v>11</v>
      </c>
      <c r="C8" s="19">
        <v>717.19315595900002</v>
      </c>
      <c r="D8" s="19">
        <v>158.781411408</v>
      </c>
      <c r="E8" s="19">
        <v>404.30110311129005</v>
      </c>
      <c r="F8" s="322"/>
    </row>
    <row r="9" spans="1:81" s="24" customFormat="1" ht="24.75" customHeight="1">
      <c r="A9" s="21"/>
      <c r="B9" s="22" t="s">
        <v>12</v>
      </c>
      <c r="C9" s="23">
        <v>353.87926693999998</v>
      </c>
      <c r="D9" s="23">
        <v>90.056728030999992</v>
      </c>
      <c r="E9" s="23">
        <v>240.51127197529001</v>
      </c>
      <c r="F9" s="324"/>
    </row>
    <row r="10" spans="1:81" s="24" customFormat="1" ht="24.75" customHeight="1">
      <c r="A10" s="21"/>
      <c r="B10" s="22" t="s">
        <v>13</v>
      </c>
      <c r="C10" s="23">
        <v>354.32312477599999</v>
      </c>
      <c r="D10" s="23">
        <v>68.724608376999996</v>
      </c>
      <c r="E10" s="23">
        <v>162.069671196</v>
      </c>
    </row>
    <row r="11" spans="1:81" ht="24.75" customHeight="1">
      <c r="A11" s="13"/>
      <c r="B11" s="22" t="s">
        <v>14</v>
      </c>
      <c r="C11" s="23">
        <v>44.080809592000008</v>
      </c>
      <c r="D11" s="23">
        <v>10.698738899</v>
      </c>
      <c r="E11" s="23">
        <v>23.675028494000003</v>
      </c>
    </row>
    <row r="12" spans="1:81" s="20" customFormat="1" ht="24.75" customHeight="1">
      <c r="A12" s="17" t="s">
        <v>15</v>
      </c>
      <c r="B12" s="18" t="s">
        <v>16</v>
      </c>
      <c r="C12" s="19">
        <v>7.9963573770000007</v>
      </c>
      <c r="D12" s="19">
        <v>1.921539458</v>
      </c>
      <c r="E12" s="19">
        <v>4.2055747532499996</v>
      </c>
    </row>
    <row r="13" spans="1:81" s="20" customFormat="1" ht="24.75" customHeight="1">
      <c r="A13" s="17" t="s">
        <v>17</v>
      </c>
      <c r="B13" s="18" t="s">
        <v>18</v>
      </c>
      <c r="C13" s="19">
        <v>42.048001009999993</v>
      </c>
      <c r="D13" s="19">
        <v>7.99906351</v>
      </c>
      <c r="E13" s="19">
        <v>34.629260981999998</v>
      </c>
    </row>
    <row r="14" spans="1:81" s="20" customFormat="1" ht="24.75" customHeight="1">
      <c r="A14" s="17" t="s">
        <v>19</v>
      </c>
      <c r="B14" s="18" t="s">
        <v>20</v>
      </c>
      <c r="C14" s="19">
        <v>1228.350267176</v>
      </c>
      <c r="D14" s="19">
        <v>217.29660369499999</v>
      </c>
      <c r="E14" s="19">
        <v>526.73653302815001</v>
      </c>
      <c r="F14" s="323"/>
    </row>
    <row r="15" spans="1:81" s="27" customFormat="1" ht="24.75" customHeight="1">
      <c r="A15" s="25"/>
      <c r="B15" s="26" t="s">
        <v>21</v>
      </c>
      <c r="C15" s="23">
        <v>360.58438678399995</v>
      </c>
      <c r="D15" s="23">
        <v>56.11818873</v>
      </c>
      <c r="E15" s="23">
        <v>144.16185409100001</v>
      </c>
    </row>
    <row r="16" spans="1:81" s="30" customFormat="1" ht="24.75" customHeight="1">
      <c r="A16" s="28"/>
      <c r="B16" s="29" t="s">
        <v>22</v>
      </c>
      <c r="C16" s="23">
        <v>0</v>
      </c>
      <c r="D16" s="23">
        <v>0</v>
      </c>
      <c r="E16" s="23">
        <v>0</v>
      </c>
    </row>
    <row r="17" spans="1:5" s="30" customFormat="1" ht="24.75" customHeight="1">
      <c r="A17" s="28"/>
      <c r="B17" s="26" t="s">
        <v>23</v>
      </c>
      <c r="C17" s="23">
        <v>444.95473035399999</v>
      </c>
      <c r="D17" s="23">
        <v>83.64</v>
      </c>
      <c r="E17" s="23">
        <v>205.74</v>
      </c>
    </row>
    <row r="18" spans="1:5" s="30" customFormat="1" ht="24.75" customHeight="1">
      <c r="A18" s="28"/>
      <c r="B18" s="29" t="s">
        <v>24</v>
      </c>
      <c r="C18" s="23">
        <v>0</v>
      </c>
      <c r="D18" s="23">
        <v>0</v>
      </c>
      <c r="E18" s="23">
        <v>0</v>
      </c>
    </row>
    <row r="19" spans="1:5" s="30" customFormat="1" ht="24.75" customHeight="1">
      <c r="A19" s="28"/>
      <c r="B19" s="31" t="s">
        <v>25</v>
      </c>
      <c r="C19" s="23">
        <v>81.825998709000004</v>
      </c>
      <c r="D19" s="23">
        <v>33.753026845999997</v>
      </c>
      <c r="E19" s="23">
        <v>55.523847510999992</v>
      </c>
    </row>
    <row r="20" spans="1:5" s="20" customFormat="1" ht="27.75" customHeight="1">
      <c r="A20" s="17" t="s">
        <v>26</v>
      </c>
      <c r="B20" s="32" t="s">
        <v>27</v>
      </c>
      <c r="C20" s="19">
        <v>337.90841574499996</v>
      </c>
      <c r="D20" s="19">
        <v>66.039999999999992</v>
      </c>
      <c r="E20" s="19">
        <v>154.88</v>
      </c>
    </row>
    <row r="21" spans="1:5" s="20" customFormat="1" ht="24.75" customHeight="1">
      <c r="A21" s="17"/>
      <c r="B21" s="18"/>
      <c r="C21" s="19"/>
      <c r="D21" s="19">
        <v>0</v>
      </c>
      <c r="E21" s="19">
        <v>0</v>
      </c>
    </row>
    <row r="22" spans="1:5" s="27" customFormat="1" ht="24.75" customHeight="1">
      <c r="A22" s="25"/>
      <c r="B22" s="26" t="s">
        <v>28</v>
      </c>
      <c r="C22" s="23">
        <v>0</v>
      </c>
      <c r="D22" s="23">
        <v>0</v>
      </c>
      <c r="E22" s="23">
        <v>0</v>
      </c>
    </row>
    <row r="23" spans="1:5" ht="24.75" customHeight="1">
      <c r="A23" s="13" t="s">
        <v>29</v>
      </c>
      <c r="B23" s="33" t="s">
        <v>30</v>
      </c>
      <c r="C23" s="15">
        <v>34.707702518999994</v>
      </c>
      <c r="D23" s="15">
        <v>8.374614674</v>
      </c>
      <c r="E23" s="15">
        <v>19.440395705</v>
      </c>
    </row>
    <row r="24" spans="1:5" s="20" customFormat="1" ht="24.75" customHeight="1">
      <c r="A24" s="17" t="s">
        <v>31</v>
      </c>
      <c r="B24" s="34" t="s">
        <v>32</v>
      </c>
      <c r="C24" s="19">
        <v>0</v>
      </c>
      <c r="D24" s="19">
        <v>0</v>
      </c>
      <c r="E24" s="19">
        <v>0</v>
      </c>
    </row>
    <row r="25" spans="1:5" s="20" customFormat="1" ht="24.75" customHeight="1">
      <c r="A25" s="17" t="s">
        <v>33</v>
      </c>
      <c r="B25" s="34" t="s">
        <v>34</v>
      </c>
      <c r="C25" s="19">
        <v>324.52322707499997</v>
      </c>
      <c r="D25" s="19">
        <v>10.399999999999999</v>
      </c>
      <c r="E25" s="19">
        <v>48.151679596999998</v>
      </c>
    </row>
    <row r="26" spans="1:5" ht="24.75" customHeight="1">
      <c r="A26" s="13"/>
      <c r="B26" s="14" t="s">
        <v>35</v>
      </c>
      <c r="C26" s="15">
        <v>194.71118085100002</v>
      </c>
      <c r="D26" s="15">
        <v>0</v>
      </c>
      <c r="E26" s="15">
        <v>4.4175000000000004</v>
      </c>
    </row>
    <row r="27" spans="1:5" ht="24.75" customHeight="1">
      <c r="A27" s="13"/>
      <c r="B27" s="14" t="s">
        <v>36</v>
      </c>
      <c r="C27" s="15">
        <v>129.812046224</v>
      </c>
      <c r="D27" s="15">
        <v>10.399999999999999</v>
      </c>
      <c r="E27" s="15">
        <v>43.734179596999994</v>
      </c>
    </row>
    <row r="28" spans="1:5" s="20" customFormat="1" ht="24.75" customHeight="1">
      <c r="A28" s="17" t="s">
        <v>37</v>
      </c>
      <c r="B28" s="34" t="s">
        <v>38</v>
      </c>
      <c r="C28" s="19">
        <v>150.01117411999999</v>
      </c>
      <c r="D28" s="19">
        <v>17.090390111000001</v>
      </c>
      <c r="E28" s="19">
        <v>86.507755307000011</v>
      </c>
    </row>
    <row r="29" spans="1:5" s="27" customFormat="1" ht="24.75" customHeight="1">
      <c r="A29" s="25"/>
      <c r="B29" s="22" t="s">
        <v>39</v>
      </c>
      <c r="C29" s="23">
        <v>46.041655290999998</v>
      </c>
      <c r="D29" s="23">
        <v>0</v>
      </c>
      <c r="E29" s="23">
        <v>28.879483622999999</v>
      </c>
    </row>
    <row r="30" spans="1:5" s="27" customFormat="1" ht="24.75" customHeight="1">
      <c r="A30" s="25"/>
      <c r="B30" s="22" t="s">
        <v>40</v>
      </c>
      <c r="C30" s="23">
        <v>0</v>
      </c>
      <c r="D30" s="23">
        <v>0</v>
      </c>
      <c r="E30" s="23">
        <v>0</v>
      </c>
    </row>
    <row r="31" spans="1:5" s="27" customFormat="1" ht="24.75" customHeight="1">
      <c r="A31" s="25"/>
      <c r="B31" s="22" t="s">
        <v>41</v>
      </c>
      <c r="C31" s="23">
        <v>0</v>
      </c>
      <c r="D31" s="23">
        <v>0</v>
      </c>
      <c r="E31" s="23">
        <v>0</v>
      </c>
    </row>
    <row r="32" spans="1:5" s="27" customFormat="1" ht="24.75" customHeight="1">
      <c r="A32" s="25"/>
      <c r="B32" s="22" t="s">
        <v>42</v>
      </c>
      <c r="C32" s="23">
        <v>103.96951882899998</v>
      </c>
      <c r="D32" s="23">
        <v>17.090390111000001</v>
      </c>
      <c r="E32" s="23">
        <v>57.628271684000005</v>
      </c>
    </row>
    <row r="33" spans="1:65" s="12" customFormat="1" ht="24.75" customHeight="1">
      <c r="A33" s="7" t="s">
        <v>43</v>
      </c>
      <c r="B33" s="10" t="s">
        <v>44</v>
      </c>
      <c r="C33" s="11">
        <v>3134.3495614991871</v>
      </c>
      <c r="D33" s="11">
        <v>808.41969850417536</v>
      </c>
      <c r="E33" s="11">
        <v>1525.5795460221152</v>
      </c>
      <c r="F33"/>
      <c r="G33" s="321">
        <f>+C33+C59</f>
        <v>3745.7246561751867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ht="24.75" customHeight="1">
      <c r="A34" s="13" t="s">
        <v>45</v>
      </c>
      <c r="B34" s="14" t="s">
        <v>46</v>
      </c>
      <c r="C34" s="15">
        <v>804.05497875499987</v>
      </c>
      <c r="D34" s="15">
        <v>208.89685439900001</v>
      </c>
      <c r="E34" s="15">
        <v>431.67220594000003</v>
      </c>
      <c r="G34" s="9">
        <f>+C67-C26</f>
        <v>-1097.6975360451872</v>
      </c>
    </row>
    <row r="35" spans="1:65" ht="24.75" customHeight="1">
      <c r="A35" s="13" t="s">
        <v>47</v>
      </c>
      <c r="B35" s="14" t="s">
        <v>48</v>
      </c>
      <c r="C35" s="15">
        <v>285.51456649200003</v>
      </c>
      <c r="D35" s="15">
        <v>54.880546221000003</v>
      </c>
      <c r="E35" s="15">
        <v>128.868520561</v>
      </c>
    </row>
    <row r="36" spans="1:65" s="27" customFormat="1" ht="24.75" customHeight="1">
      <c r="A36" s="25"/>
      <c r="B36" s="22" t="s">
        <v>49</v>
      </c>
      <c r="C36" s="23">
        <v>0</v>
      </c>
      <c r="D36" s="23">
        <v>0</v>
      </c>
      <c r="E36" s="23">
        <v>0</v>
      </c>
    </row>
    <row r="37" spans="1:65" s="27" customFormat="1" ht="24.75" customHeight="1">
      <c r="A37" s="25"/>
      <c r="B37" s="22" t="s">
        <v>50</v>
      </c>
      <c r="C37" s="23">
        <v>10.217891955000001</v>
      </c>
      <c r="D37" s="23">
        <v>3.0733201320000001</v>
      </c>
      <c r="E37" s="23">
        <v>6.3328711169999998</v>
      </c>
    </row>
    <row r="38" spans="1:65" ht="24.75" customHeight="1">
      <c r="A38" s="13" t="s">
        <v>51</v>
      </c>
      <c r="B38" s="14" t="s">
        <v>52</v>
      </c>
      <c r="C38" s="15">
        <v>0</v>
      </c>
      <c r="D38" s="15">
        <v>0</v>
      </c>
      <c r="E38" s="15">
        <v>0</v>
      </c>
    </row>
    <row r="39" spans="1:65" s="36" customFormat="1" ht="24.75" customHeight="1">
      <c r="A39" s="13" t="s">
        <v>53</v>
      </c>
      <c r="B39" s="14" t="s">
        <v>54</v>
      </c>
      <c r="C39" s="15">
        <v>289.54718238018779</v>
      </c>
      <c r="D39" s="15">
        <v>111.14636518917514</v>
      </c>
      <c r="E39" s="15">
        <v>179.23426443111512</v>
      </c>
    </row>
    <row r="40" spans="1:65" s="38" customFormat="1" ht="24.75" customHeight="1">
      <c r="A40" s="25"/>
      <c r="B40" s="37" t="s">
        <v>55</v>
      </c>
      <c r="C40" s="15">
        <v>251.82787001566388</v>
      </c>
      <c r="D40" s="15">
        <v>93.19069265535677</v>
      </c>
      <c r="E40" s="15">
        <v>145.3836275384127</v>
      </c>
    </row>
    <row r="41" spans="1:65" s="38" customFormat="1" ht="24.75" customHeight="1">
      <c r="A41" s="25"/>
      <c r="B41" s="37" t="s">
        <v>56</v>
      </c>
      <c r="C41" s="15">
        <v>37.719312364523923</v>
      </c>
      <c r="D41" s="15">
        <v>18.565387738818377</v>
      </c>
      <c r="E41" s="15">
        <v>33.850636892702461</v>
      </c>
    </row>
    <row r="42" spans="1:65" ht="24.75" customHeight="1">
      <c r="A42" s="13" t="s">
        <v>57</v>
      </c>
      <c r="B42" s="14" t="s">
        <v>58</v>
      </c>
      <c r="C42" s="15">
        <v>175.16286498099998</v>
      </c>
      <c r="D42" s="15">
        <v>26.694160455999999</v>
      </c>
      <c r="E42" s="15">
        <v>50.736716437999995</v>
      </c>
    </row>
    <row r="43" spans="1:65" s="27" customFormat="1" ht="24.75" customHeight="1">
      <c r="A43" s="25"/>
      <c r="B43" s="22"/>
      <c r="C43" s="23">
        <v>0</v>
      </c>
      <c r="D43" s="23">
        <v>0</v>
      </c>
      <c r="E43" s="23">
        <v>0</v>
      </c>
    </row>
    <row r="44" spans="1:65" ht="24.75" customHeight="1">
      <c r="A44" s="13" t="s">
        <v>59</v>
      </c>
      <c r="B44" s="14" t="s">
        <v>34</v>
      </c>
      <c r="C44" s="15">
        <v>1381.6624001540001</v>
      </c>
      <c r="D44" s="15">
        <v>332.49617963399999</v>
      </c>
      <c r="E44" s="15">
        <v>625.70004070999994</v>
      </c>
    </row>
    <row r="45" spans="1:65" s="27" customFormat="1" ht="24.75" customHeight="1">
      <c r="A45" s="25"/>
      <c r="B45" s="22" t="s">
        <v>60</v>
      </c>
      <c r="C45" s="15">
        <v>675.37571418700009</v>
      </c>
      <c r="D45" s="15">
        <v>166.560168895</v>
      </c>
      <c r="E45" s="15">
        <v>328.41648960500004</v>
      </c>
    </row>
    <row r="46" spans="1:65" s="27" customFormat="1" ht="24.75" customHeight="1">
      <c r="A46" s="25"/>
      <c r="B46" s="22" t="s">
        <v>61</v>
      </c>
      <c r="C46" s="15">
        <v>706.28668596699993</v>
      </c>
      <c r="D46" s="15">
        <v>165.93601073899998</v>
      </c>
      <c r="E46" s="15">
        <v>297.28355110499996</v>
      </c>
    </row>
    <row r="47" spans="1:65" s="39" customFormat="1" ht="24.75" customHeight="1">
      <c r="A47" s="13" t="s">
        <v>62</v>
      </c>
      <c r="B47" s="14" t="s">
        <v>63</v>
      </c>
      <c r="C47" s="15">
        <v>23.293302382000004</v>
      </c>
      <c r="D47" s="15">
        <v>4.4730524220000003</v>
      </c>
      <c r="E47" s="15">
        <v>10.529327212</v>
      </c>
    </row>
    <row r="48" spans="1:65" ht="24.75" customHeight="1">
      <c r="A48" s="13" t="s">
        <v>64</v>
      </c>
      <c r="B48" s="14" t="s">
        <v>65</v>
      </c>
      <c r="C48" s="15">
        <v>175.11426635500001</v>
      </c>
      <c r="D48" s="15">
        <v>69.832540183000006</v>
      </c>
      <c r="E48" s="15">
        <v>98.838470729999997</v>
      </c>
    </row>
    <row r="49" spans="1:65" ht="24.75" customHeight="1">
      <c r="A49" s="13"/>
      <c r="B49" s="14" t="s">
        <v>66</v>
      </c>
      <c r="C49" s="15">
        <v>175.11426635500001</v>
      </c>
      <c r="D49" s="15">
        <v>69.832540183000006</v>
      </c>
      <c r="E49" s="15">
        <v>98.838470729999997</v>
      </c>
    </row>
    <row r="50" spans="1:65" s="27" customFormat="1" ht="24.75" customHeight="1">
      <c r="A50" s="25"/>
      <c r="B50" s="22" t="s">
        <v>67</v>
      </c>
      <c r="C50" s="23">
        <v>56.613185648999988</v>
      </c>
      <c r="D50" s="23">
        <v>44.907240097999995</v>
      </c>
      <c r="E50" s="23">
        <v>47.867882597999994</v>
      </c>
    </row>
    <row r="51" spans="1:65" s="27" customFormat="1" ht="24.75" customHeight="1">
      <c r="A51" s="25"/>
      <c r="B51" s="22" t="s">
        <v>68</v>
      </c>
      <c r="C51" s="23">
        <v>68.757208745</v>
      </c>
      <c r="D51" s="23">
        <v>17.166893047999999</v>
      </c>
      <c r="E51" s="23">
        <v>37.318674813000001</v>
      </c>
    </row>
    <row r="52" spans="1:65" s="27" customFormat="1" ht="24.75" customHeight="1">
      <c r="A52" s="25"/>
      <c r="B52" s="22" t="s">
        <v>69</v>
      </c>
      <c r="C52" s="23">
        <v>3.2200655199999999</v>
      </c>
      <c r="D52" s="23">
        <v>0.48499999999999999</v>
      </c>
      <c r="E52" s="23">
        <v>0.48499999999999999</v>
      </c>
    </row>
    <row r="53" spans="1:65" ht="24.75" customHeight="1">
      <c r="A53" s="13"/>
      <c r="B53" s="14" t="s">
        <v>70</v>
      </c>
      <c r="C53" s="15">
        <v>0</v>
      </c>
      <c r="D53" s="15">
        <v>0</v>
      </c>
      <c r="E53" s="15">
        <v>0</v>
      </c>
    </row>
    <row r="54" spans="1:65" s="27" customFormat="1" ht="24.75" customHeight="1">
      <c r="A54" s="25"/>
      <c r="B54" s="22" t="s">
        <v>71</v>
      </c>
      <c r="C54" s="15">
        <v>0</v>
      </c>
      <c r="D54" s="15">
        <v>0</v>
      </c>
      <c r="E54" s="15">
        <v>0</v>
      </c>
    </row>
    <row r="55" spans="1:65" s="27" customFormat="1" ht="24.75" customHeight="1">
      <c r="A55" s="25"/>
      <c r="B55" s="22" t="s">
        <v>72</v>
      </c>
      <c r="C55" s="15">
        <v>0</v>
      </c>
      <c r="D55" s="15">
        <v>0</v>
      </c>
      <c r="E55" s="15">
        <v>0</v>
      </c>
    </row>
    <row r="56" spans="1:65" s="12" customFormat="1" ht="24.75" customHeight="1">
      <c r="A56" s="17" t="s">
        <v>73</v>
      </c>
      <c r="B56" s="40" t="s">
        <v>74</v>
      </c>
      <c r="C56" s="11">
        <v>-291.61126051818746</v>
      </c>
      <c r="D56" s="11">
        <v>-320.51607564817533</v>
      </c>
      <c r="E56" s="11">
        <v>-246.72724353842568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pans="1:65" s="12" customFormat="1" ht="24.75" customHeight="1">
      <c r="A57" s="17" t="s">
        <v>75</v>
      </c>
      <c r="B57" s="40" t="s">
        <v>76</v>
      </c>
      <c r="C57" s="11">
        <v>-291.61126051818746</v>
      </c>
      <c r="D57" s="11">
        <v>-320.51607564817533</v>
      </c>
      <c r="E57" s="11">
        <v>-246.72724353842568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pans="1:65" s="36" customFormat="1" ht="35.25" customHeight="1">
      <c r="A58" s="7"/>
      <c r="B58" s="8" t="s">
        <v>77</v>
      </c>
      <c r="C58" s="41"/>
      <c r="D58" s="41">
        <v>0</v>
      </c>
      <c r="E58" s="41">
        <v>0</v>
      </c>
    </row>
    <row r="59" spans="1:65" ht="24.75" customHeight="1">
      <c r="A59" s="7" t="s">
        <v>78</v>
      </c>
      <c r="B59" s="10" t="s">
        <v>79</v>
      </c>
      <c r="C59" s="11">
        <v>611.37509467599978</v>
      </c>
      <c r="D59" s="11">
        <v>209.52417442300001</v>
      </c>
      <c r="E59" s="11">
        <v>369.79947715166668</v>
      </c>
    </row>
    <row r="60" spans="1:65" ht="24.75" customHeight="1">
      <c r="A60" s="13" t="s">
        <v>80</v>
      </c>
      <c r="B60" s="14" t="s">
        <v>81</v>
      </c>
      <c r="C60" s="15">
        <v>610.2732181639999</v>
      </c>
      <c r="D60" s="15">
        <v>209.02417442300001</v>
      </c>
      <c r="E60" s="15">
        <v>367.71636345166667</v>
      </c>
    </row>
    <row r="61" spans="1:65" s="27" customFormat="1" ht="24.75" customHeight="1">
      <c r="A61" s="25"/>
      <c r="B61" s="22" t="s">
        <v>82</v>
      </c>
      <c r="C61" s="42">
        <v>51.265830469999997</v>
      </c>
      <c r="D61" s="42">
        <v>25.92417442299999</v>
      </c>
      <c r="E61" s="42">
        <v>41.282183854999985</v>
      </c>
    </row>
    <row r="62" spans="1:65" s="27" customFormat="1" ht="24.75" customHeight="1">
      <c r="A62" s="25"/>
      <c r="B62" s="43" t="s">
        <v>83</v>
      </c>
      <c r="C62" s="23">
        <v>0</v>
      </c>
      <c r="D62" s="23">
        <v>0</v>
      </c>
      <c r="E62" s="23">
        <v>0</v>
      </c>
    </row>
    <row r="63" spans="1:65" s="27" customFormat="1" ht="24.75" customHeight="1">
      <c r="A63" s="25"/>
      <c r="B63" s="43" t="s">
        <v>84</v>
      </c>
      <c r="C63" s="23">
        <v>559.00738769399993</v>
      </c>
      <c r="D63" s="23">
        <v>183.10000000000002</v>
      </c>
      <c r="E63" s="23">
        <v>326.4341795966667</v>
      </c>
    </row>
    <row r="64" spans="1:65" ht="24.75" customHeight="1">
      <c r="A64" s="13" t="s">
        <v>85</v>
      </c>
      <c r="B64" s="14" t="s">
        <v>86</v>
      </c>
      <c r="C64" s="15">
        <v>1.0520096720000001</v>
      </c>
      <c r="D64" s="15">
        <v>0</v>
      </c>
      <c r="E64" s="15">
        <v>4.4931499999999999E-2</v>
      </c>
    </row>
    <row r="65" spans="1:65" ht="24.75" customHeight="1">
      <c r="A65" s="13" t="s">
        <v>87</v>
      </c>
      <c r="B65" s="14" t="s">
        <v>88</v>
      </c>
      <c r="C65" s="15">
        <v>4.9866840000000003E-2</v>
      </c>
      <c r="D65" s="15">
        <v>0</v>
      </c>
      <c r="E65" s="15">
        <v>3.8182199999999999E-2</v>
      </c>
    </row>
    <row r="66" spans="1:65" ht="24.75" customHeight="1">
      <c r="A66" s="13" t="s">
        <v>89</v>
      </c>
      <c r="B66" s="14" t="s">
        <v>90</v>
      </c>
      <c r="C66" s="15">
        <v>0</v>
      </c>
      <c r="D66" s="15">
        <v>0.5</v>
      </c>
      <c r="E66" s="15">
        <v>2</v>
      </c>
    </row>
    <row r="67" spans="1:65" s="46" customFormat="1" ht="24.75" customHeight="1">
      <c r="A67" s="17" t="s">
        <v>91</v>
      </c>
      <c r="B67" s="44" t="s">
        <v>92</v>
      </c>
      <c r="C67" s="45">
        <v>-902.98635519418724</v>
      </c>
      <c r="D67" s="45">
        <v>-530.04025007117536</v>
      </c>
      <c r="E67" s="45">
        <v>-616.52672069009236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</row>
    <row r="68" spans="1:65" s="36" customFormat="1" ht="36.75" customHeight="1">
      <c r="A68" s="47"/>
      <c r="B68" s="48" t="s">
        <v>93</v>
      </c>
      <c r="C68" s="49"/>
      <c r="D68" s="49">
        <v>0</v>
      </c>
      <c r="E68" s="49">
        <v>0</v>
      </c>
    </row>
    <row r="69" spans="1:65" ht="24.75" customHeight="1">
      <c r="A69" s="7" t="s">
        <v>94</v>
      </c>
      <c r="B69" s="10" t="s">
        <v>95</v>
      </c>
      <c r="C69" s="11">
        <v>235.12945666400003</v>
      </c>
      <c r="D69" s="11">
        <v>-63.958932977999993</v>
      </c>
      <c r="E69" s="11">
        <v>221.52781724075999</v>
      </c>
    </row>
    <row r="70" spans="1:65" ht="24.75" customHeight="1">
      <c r="A70" s="13" t="s">
        <v>96</v>
      </c>
      <c r="B70" s="14" t="s">
        <v>97</v>
      </c>
      <c r="C70" s="15">
        <v>235.12945666400003</v>
      </c>
      <c r="D70" s="15">
        <v>-63.958932977999993</v>
      </c>
      <c r="E70" s="15">
        <v>221.52781724075999</v>
      </c>
    </row>
    <row r="71" spans="1:65" s="27" customFormat="1" ht="24.75" customHeight="1">
      <c r="A71" s="25"/>
      <c r="B71" s="22" t="s">
        <v>98</v>
      </c>
      <c r="C71" s="23">
        <v>117.12226421000003</v>
      </c>
      <c r="D71" s="23">
        <v>-71.769887920000002</v>
      </c>
      <c r="E71" s="23">
        <v>225.01629158575997</v>
      </c>
    </row>
    <row r="72" spans="1:65" s="27" customFormat="1" ht="24.75" customHeight="1">
      <c r="A72" s="25"/>
      <c r="B72" s="22" t="s">
        <v>99</v>
      </c>
      <c r="C72" s="23">
        <v>0</v>
      </c>
      <c r="D72" s="23">
        <v>0</v>
      </c>
      <c r="E72" s="23">
        <v>0</v>
      </c>
    </row>
    <row r="73" spans="1:65" s="27" customFormat="1" ht="24.75" customHeight="1">
      <c r="A73" s="25"/>
      <c r="B73" s="22" t="s">
        <v>100</v>
      </c>
      <c r="C73" s="23">
        <v>68.678076093999991</v>
      </c>
      <c r="D73" s="23">
        <v>0</v>
      </c>
      <c r="E73" s="23">
        <v>0</v>
      </c>
    </row>
    <row r="74" spans="1:65" s="27" customFormat="1" ht="24.75" customHeight="1">
      <c r="A74" s="25"/>
      <c r="B74" s="50" t="s">
        <v>101</v>
      </c>
      <c r="C74" s="23">
        <v>73.654734938999979</v>
      </c>
      <c r="D74" s="23">
        <v>0</v>
      </c>
      <c r="E74" s="23">
        <v>0</v>
      </c>
    </row>
    <row r="75" spans="1:65" s="27" customFormat="1" ht="24.75" customHeight="1">
      <c r="A75" s="25"/>
      <c r="B75" s="51" t="s">
        <v>102</v>
      </c>
      <c r="C75" s="23">
        <v>0</v>
      </c>
      <c r="D75" s="23">
        <v>0</v>
      </c>
      <c r="E75" s="23">
        <v>0</v>
      </c>
    </row>
    <row r="76" spans="1:65" s="27" customFormat="1" ht="24.75" customHeight="1">
      <c r="A76" s="25"/>
      <c r="B76" s="22" t="s">
        <v>103</v>
      </c>
      <c r="C76" s="23">
        <v>0</v>
      </c>
      <c r="D76" s="23">
        <v>0</v>
      </c>
      <c r="E76" s="23">
        <v>0</v>
      </c>
    </row>
    <row r="77" spans="1:65" s="27" customFormat="1" ht="24.75" customHeight="1">
      <c r="A77" s="25"/>
      <c r="B77" s="52" t="s">
        <v>104</v>
      </c>
      <c r="C77" s="23">
        <v>0</v>
      </c>
      <c r="D77" s="23">
        <v>0</v>
      </c>
      <c r="E77" s="23">
        <v>0</v>
      </c>
    </row>
    <row r="78" spans="1:65" s="27" customFormat="1" ht="24.75" customHeight="1">
      <c r="A78" s="25"/>
      <c r="B78" s="52" t="s">
        <v>105</v>
      </c>
      <c r="C78" s="23">
        <v>0</v>
      </c>
      <c r="D78" s="23">
        <v>0</v>
      </c>
      <c r="E78" s="23">
        <v>0</v>
      </c>
    </row>
    <row r="79" spans="1:65" s="27" customFormat="1" ht="24.75" customHeight="1">
      <c r="A79" s="25"/>
      <c r="B79" s="52" t="s">
        <v>106</v>
      </c>
      <c r="C79" s="23">
        <v>49.32911636</v>
      </c>
      <c r="D79" s="23">
        <v>7.8109549420000004</v>
      </c>
      <c r="E79" s="23">
        <v>-3.4884743450000002</v>
      </c>
    </row>
    <row r="80" spans="1:65" ht="24.75" customHeight="1">
      <c r="A80" s="13" t="s">
        <v>107</v>
      </c>
      <c r="B80" s="14" t="s">
        <v>108</v>
      </c>
      <c r="C80" s="15">
        <v>0</v>
      </c>
      <c r="D80" s="15">
        <v>0</v>
      </c>
      <c r="E80" s="15">
        <v>0</v>
      </c>
    </row>
    <row r="81" spans="1:5" ht="24.75" customHeight="1">
      <c r="A81" s="13" t="s">
        <v>109</v>
      </c>
      <c r="B81" s="14" t="s">
        <v>110</v>
      </c>
      <c r="C81" s="15">
        <v>0</v>
      </c>
      <c r="D81" s="15">
        <v>0</v>
      </c>
      <c r="E81" s="15">
        <v>0</v>
      </c>
    </row>
    <row r="82" spans="1:5" ht="24.75" customHeight="1">
      <c r="A82" s="7" t="s">
        <v>111</v>
      </c>
      <c r="B82" s="10" t="s">
        <v>112</v>
      </c>
      <c r="C82" s="11">
        <v>1145.7225918534921</v>
      </c>
      <c r="D82" s="11">
        <v>454.24786349243902</v>
      </c>
      <c r="E82" s="11">
        <v>832.08248441511557</v>
      </c>
    </row>
    <row r="83" spans="1:5" ht="24.75" customHeight="1">
      <c r="A83" s="13" t="s">
        <v>113</v>
      </c>
      <c r="B83" s="14" t="s">
        <v>97</v>
      </c>
      <c r="C83" s="15">
        <v>282.83339143048966</v>
      </c>
      <c r="D83" s="15">
        <v>204.17444347817496</v>
      </c>
      <c r="E83" s="15">
        <v>241.00778162027498</v>
      </c>
    </row>
    <row r="84" spans="1:5" s="30" customFormat="1" ht="24.75" customHeight="1">
      <c r="A84" s="53"/>
      <c r="B84" s="54" t="s">
        <v>114</v>
      </c>
      <c r="C84" s="55">
        <v>319.33903065218971</v>
      </c>
      <c r="D84" s="55">
        <v>56.662366300174995</v>
      </c>
      <c r="E84" s="55">
        <v>96.537119059274985</v>
      </c>
    </row>
    <row r="85" spans="1:5" s="30" customFormat="1" ht="24.75" customHeight="1">
      <c r="A85" s="53"/>
      <c r="B85" s="22" t="s">
        <v>115</v>
      </c>
      <c r="C85" s="23">
        <v>0</v>
      </c>
      <c r="D85" s="23">
        <v>0</v>
      </c>
      <c r="E85" s="23">
        <v>0</v>
      </c>
    </row>
    <row r="86" spans="1:5" s="30" customFormat="1" ht="24.75" customHeight="1">
      <c r="A86" s="53"/>
      <c r="B86" s="22" t="s">
        <v>116</v>
      </c>
      <c r="C86" s="23">
        <v>45.585898700000001</v>
      </c>
      <c r="D86" s="23">
        <v>0</v>
      </c>
      <c r="E86" s="23">
        <v>39.25</v>
      </c>
    </row>
    <row r="87" spans="1:5" s="30" customFormat="1" ht="24.75" customHeight="1">
      <c r="A87" s="53"/>
      <c r="B87" s="22" t="s">
        <v>117</v>
      </c>
      <c r="C87" s="56">
        <v>-15.891224012185511</v>
      </c>
      <c r="D87" s="56">
        <v>-2.4454661998249998</v>
      </c>
      <c r="E87" s="56">
        <v>-7.8537234407249992</v>
      </c>
    </row>
    <row r="88" spans="1:5" s="30" customFormat="1" ht="24.75" customHeight="1">
      <c r="A88" s="53"/>
      <c r="B88" s="22" t="s">
        <v>118</v>
      </c>
      <c r="C88" s="23">
        <v>304.74756186837527</v>
      </c>
      <c r="D88" s="23">
        <v>66.616957499999998</v>
      </c>
      <c r="E88" s="23">
        <v>72.649967500000002</v>
      </c>
    </row>
    <row r="89" spans="1:5" s="30" customFormat="1" ht="24.75" customHeight="1">
      <c r="A89" s="53"/>
      <c r="B89" s="22" t="s">
        <v>119</v>
      </c>
      <c r="C89" s="23">
        <v>-15.01825</v>
      </c>
      <c r="D89" s="23">
        <v>-7.509125</v>
      </c>
      <c r="E89" s="23">
        <v>-7.509125</v>
      </c>
    </row>
    <row r="90" spans="1:5" s="30" customFormat="1" ht="24.75" customHeight="1">
      <c r="A90" s="53"/>
      <c r="B90" s="54" t="s">
        <v>120</v>
      </c>
      <c r="C90" s="55">
        <v>-71.192836994000004</v>
      </c>
      <c r="D90" s="55">
        <v>-13.305961612000001</v>
      </c>
      <c r="E90" s="55">
        <v>-17.800102819999999</v>
      </c>
    </row>
    <row r="91" spans="1:5" s="30" customFormat="1" ht="24.75" customHeight="1">
      <c r="A91" s="53"/>
      <c r="B91" s="22" t="s">
        <v>121</v>
      </c>
      <c r="C91" s="23">
        <v>-71.192836994000004</v>
      </c>
      <c r="D91" s="23">
        <v>-13.305961612000001</v>
      </c>
      <c r="E91" s="23">
        <v>-17.800102819999999</v>
      </c>
    </row>
    <row r="92" spans="1:5" s="30" customFormat="1" ht="24.75" customHeight="1">
      <c r="A92" s="53"/>
      <c r="B92" s="22" t="s">
        <v>122</v>
      </c>
      <c r="C92" s="23">
        <v>0</v>
      </c>
      <c r="D92" s="23">
        <v>0</v>
      </c>
      <c r="E92" s="23">
        <v>0</v>
      </c>
    </row>
    <row r="93" spans="1:5" s="30" customFormat="1" ht="24.75" customHeight="1">
      <c r="A93" s="53"/>
      <c r="B93" s="22" t="s">
        <v>123</v>
      </c>
      <c r="C93" s="23">
        <v>0</v>
      </c>
      <c r="D93" s="23">
        <v>0</v>
      </c>
      <c r="E93" s="23">
        <v>0</v>
      </c>
    </row>
    <row r="94" spans="1:5" s="30" customFormat="1" ht="24.75" customHeight="1">
      <c r="A94" s="53"/>
      <c r="B94" s="22" t="s">
        <v>124</v>
      </c>
      <c r="C94" s="23">
        <v>0</v>
      </c>
      <c r="D94" s="23">
        <v>0</v>
      </c>
      <c r="E94" s="23">
        <v>0</v>
      </c>
    </row>
    <row r="95" spans="1:5" s="30" customFormat="1" ht="24.75" customHeight="1">
      <c r="A95" s="53"/>
      <c r="B95" s="22" t="s">
        <v>125</v>
      </c>
      <c r="C95" s="23">
        <v>0</v>
      </c>
      <c r="D95" s="23">
        <v>0</v>
      </c>
      <c r="E95" s="23">
        <v>0</v>
      </c>
    </row>
    <row r="96" spans="1:5" s="58" customFormat="1" ht="24.75" customHeight="1">
      <c r="A96" s="57"/>
      <c r="B96" s="22" t="s">
        <v>126</v>
      </c>
      <c r="C96" s="23">
        <v>34.687197772299925</v>
      </c>
      <c r="D96" s="23">
        <v>160.81803878999997</v>
      </c>
      <c r="E96" s="23">
        <v>162.27076538099999</v>
      </c>
    </row>
    <row r="97" spans="1:5" s="30" customFormat="1" ht="24.75" customHeight="1">
      <c r="A97" s="53"/>
      <c r="B97" s="50" t="s">
        <v>127</v>
      </c>
      <c r="C97" s="23">
        <v>5.7726481990000025</v>
      </c>
      <c r="D97" s="23">
        <v>9.7291967019999959</v>
      </c>
      <c r="E97" s="23">
        <v>7.4038865969999961</v>
      </c>
    </row>
    <row r="98" spans="1:5" s="59" customFormat="1" ht="24.75" customHeight="1">
      <c r="A98" s="17"/>
      <c r="B98" s="50" t="s">
        <v>128</v>
      </c>
      <c r="C98" s="19">
        <v>-68.797667151699983</v>
      </c>
      <c r="D98" s="19">
        <v>150.41468415900002</v>
      </c>
      <c r="E98" s="19">
        <v>138.79136166000001</v>
      </c>
    </row>
    <row r="99" spans="1:5" s="20" customFormat="1" ht="24.75" customHeight="1">
      <c r="A99" s="17"/>
      <c r="B99" s="50" t="s">
        <v>129</v>
      </c>
      <c r="C99" s="19">
        <v>29.409287559000003</v>
      </c>
      <c r="D99" s="19">
        <v>1.986152629</v>
      </c>
      <c r="E99" s="19">
        <v>3.9565296910000001</v>
      </c>
    </row>
    <row r="100" spans="1:5" ht="24.75" customHeight="1">
      <c r="A100" s="13" t="s">
        <v>130</v>
      </c>
      <c r="B100" s="14" t="s">
        <v>108</v>
      </c>
      <c r="C100" s="15">
        <v>862.88920042300242</v>
      </c>
      <c r="D100" s="15">
        <v>250.07342001426403</v>
      </c>
      <c r="E100" s="15">
        <v>591.07470279484062</v>
      </c>
    </row>
    <row r="101" spans="1:5" s="30" customFormat="1" ht="24.75" customHeight="1">
      <c r="A101" s="53"/>
      <c r="B101" s="60" t="s">
        <v>131</v>
      </c>
      <c r="C101" s="23">
        <v>0</v>
      </c>
      <c r="D101" s="23">
        <v>0</v>
      </c>
      <c r="E101" s="23">
        <v>0</v>
      </c>
    </row>
    <row r="102" spans="1:5" s="30" customFormat="1" ht="24.75" customHeight="1">
      <c r="A102" s="53"/>
      <c r="B102" s="60" t="s">
        <v>132</v>
      </c>
      <c r="C102" s="23">
        <v>221.27178827481026</v>
      </c>
      <c r="D102" s="23">
        <v>129.90905994982501</v>
      </c>
      <c r="E102" s="23">
        <v>469.74426173073493</v>
      </c>
    </row>
    <row r="103" spans="1:5" s="62" customFormat="1" ht="24.75" customHeight="1">
      <c r="A103" s="61"/>
      <c r="B103" s="60" t="s">
        <v>133</v>
      </c>
      <c r="C103" s="23">
        <v>9.4141013000000129</v>
      </c>
      <c r="D103" s="23">
        <v>0</v>
      </c>
      <c r="E103" s="23">
        <v>15.75</v>
      </c>
    </row>
    <row r="104" spans="1:5" s="62" customFormat="1" ht="24.75" customHeight="1">
      <c r="A104" s="61"/>
      <c r="B104" s="60" t="s">
        <v>134</v>
      </c>
      <c r="C104" s="23">
        <v>249.24808912962476</v>
      </c>
      <c r="D104" s="23">
        <v>136.63804249999998</v>
      </c>
      <c r="E104" s="23">
        <v>185.60503249999999</v>
      </c>
    </row>
    <row r="105" spans="1:5" s="27" customFormat="1" ht="24.75" customHeight="1">
      <c r="A105" s="25"/>
      <c r="B105" s="14" t="s">
        <v>135</v>
      </c>
      <c r="C105" s="23">
        <v>-27.40865215481449</v>
      </c>
      <c r="D105" s="23">
        <v>-1.7381075501750003</v>
      </c>
      <c r="E105" s="23">
        <v>-13.796216309275</v>
      </c>
    </row>
    <row r="106" spans="1:5" s="38" customFormat="1" ht="24.75" customHeight="1">
      <c r="A106" s="25"/>
      <c r="B106" s="14" t="s">
        <v>136</v>
      </c>
      <c r="C106" s="23">
        <v>0</v>
      </c>
      <c r="D106" s="23">
        <v>0</v>
      </c>
      <c r="E106" s="23">
        <v>287.17632054000995</v>
      </c>
    </row>
    <row r="107" spans="1:5" s="38" customFormat="1" ht="24.75" customHeight="1">
      <c r="A107" s="25"/>
      <c r="B107" s="14" t="s">
        <v>137</v>
      </c>
      <c r="C107" s="23">
        <v>-9.9817499999999999</v>
      </c>
      <c r="D107" s="23">
        <v>-4.990875</v>
      </c>
      <c r="E107" s="23">
        <v>-4.990875</v>
      </c>
    </row>
    <row r="108" spans="1:5" s="30" customFormat="1" ht="24.75" customHeight="1">
      <c r="A108" s="53"/>
      <c r="B108" s="14" t="s">
        <v>138</v>
      </c>
      <c r="C108" s="23">
        <v>641.61741214819222</v>
      </c>
      <c r="D108" s="23">
        <v>120.16436006443901</v>
      </c>
      <c r="E108" s="23">
        <v>121.33044106410567</v>
      </c>
    </row>
    <row r="109" spans="1:5" s="27" customFormat="1" ht="24.75" customHeight="1">
      <c r="A109" s="25"/>
      <c r="B109" s="22" t="s">
        <v>139</v>
      </c>
      <c r="C109" s="23">
        <v>469.80204847600004</v>
      </c>
      <c r="D109" s="23">
        <v>0</v>
      </c>
      <c r="E109" s="23">
        <v>12</v>
      </c>
    </row>
    <row r="110" spans="1:5" s="27" customFormat="1" ht="24.75" customHeight="1">
      <c r="A110" s="25"/>
      <c r="B110" s="22" t="s">
        <v>140</v>
      </c>
      <c r="C110" s="35">
        <v>429.19534147000002</v>
      </c>
      <c r="D110" s="35">
        <v>172.7</v>
      </c>
      <c r="E110" s="35">
        <v>282.6999999996666</v>
      </c>
    </row>
    <row r="111" spans="1:5" s="27" customFormat="1" ht="24.75" customHeight="1">
      <c r="A111" s="25"/>
      <c r="B111" s="22" t="s">
        <v>141</v>
      </c>
      <c r="C111" s="23">
        <v>73.654734938999979</v>
      </c>
      <c r="D111" s="23">
        <v>0</v>
      </c>
      <c r="E111" s="23">
        <v>0</v>
      </c>
    </row>
    <row r="112" spans="1:5" s="27" customFormat="1" ht="24.75" customHeight="1">
      <c r="A112" s="25"/>
      <c r="B112" s="22" t="s">
        <v>142</v>
      </c>
      <c r="C112" s="23">
        <v>0</v>
      </c>
      <c r="D112" s="23">
        <v>0</v>
      </c>
      <c r="E112" s="23">
        <v>0</v>
      </c>
    </row>
    <row r="113" spans="1:5" s="27" customFormat="1" ht="24.75" customHeight="1">
      <c r="A113" s="25"/>
      <c r="B113" s="22" t="s">
        <v>143</v>
      </c>
      <c r="C113" s="23">
        <v>-331.03471273680788</v>
      </c>
      <c r="D113" s="23">
        <v>-52.535639935560994</v>
      </c>
      <c r="E113" s="23">
        <v>-173.36955893556097</v>
      </c>
    </row>
    <row r="114" spans="1:5" s="38" customFormat="1" ht="24.75" customHeight="1">
      <c r="A114" s="25"/>
      <c r="B114" s="22" t="s">
        <v>144</v>
      </c>
      <c r="C114" s="23">
        <v>0</v>
      </c>
      <c r="D114" s="23">
        <v>0</v>
      </c>
      <c r="E114" s="23">
        <v>0</v>
      </c>
    </row>
    <row r="115" spans="1:5" s="38" customFormat="1" ht="24.75" customHeight="1">
      <c r="A115" s="25"/>
      <c r="B115" s="22" t="s">
        <v>145</v>
      </c>
      <c r="C115" s="23">
        <v>0</v>
      </c>
      <c r="D115" s="23">
        <v>0</v>
      </c>
      <c r="E115" s="23">
        <v>0</v>
      </c>
    </row>
    <row r="116" spans="1:5" s="30" customFormat="1" ht="24.75" customHeight="1">
      <c r="A116" s="53"/>
      <c r="B116" s="60" t="s">
        <v>146</v>
      </c>
      <c r="C116" s="23">
        <v>0</v>
      </c>
      <c r="D116" s="23">
        <v>0</v>
      </c>
      <c r="E116" s="23">
        <v>0</v>
      </c>
    </row>
    <row r="117" spans="1:5" ht="19.5" customHeight="1">
      <c r="A117" s="511" t="s">
        <v>147</v>
      </c>
      <c r="B117" s="511"/>
      <c r="C117" s="11">
        <v>7.6067799953048052</v>
      </c>
      <c r="D117" s="11"/>
      <c r="E117" s="11"/>
    </row>
    <row r="118" spans="1:5" ht="12" customHeight="1">
      <c r="A118" s="63" t="s">
        <v>148</v>
      </c>
      <c r="B118" s="64"/>
      <c r="D118" s="9"/>
      <c r="E118" s="9"/>
    </row>
    <row r="119" spans="1:5">
      <c r="A119" s="63" t="s">
        <v>149</v>
      </c>
      <c r="B119" s="64"/>
      <c r="C119" s="9"/>
      <c r="D119" s="9"/>
      <c r="E119" s="9"/>
    </row>
    <row r="120" spans="1:5" ht="10.5" customHeight="1">
      <c r="A120" s="65" t="s">
        <v>150</v>
      </c>
      <c r="B120" s="64"/>
      <c r="D120" s="9"/>
      <c r="E120" s="9"/>
    </row>
  </sheetData>
  <autoFilter ref="A1:C130" xr:uid="{00000000-0009-0000-0000-000001000000}"/>
  <mergeCells count="4">
    <mergeCell ref="B3:C3"/>
    <mergeCell ref="A4:B4"/>
    <mergeCell ref="A117:B117"/>
    <mergeCell ref="B5:E5"/>
  </mergeCells>
  <pageMargins left="0.70866141732283472" right="0.70866141732283472" top="0.74803149606299213" bottom="1.3385826771653544" header="0.31496062992125984" footer="0.31496062992125984"/>
  <pageSetup paperSize="9" scale="45" orientation="portrait" r:id="rId1"/>
  <rowBreaks count="1" manualBreakCount="1">
    <brk id="67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S129"/>
  <sheetViews>
    <sheetView view="pageBreakPreview" topLeftCell="A4" zoomScale="90" zoomScaleNormal="90" zoomScaleSheetLayoutView="90" zoomScalePageLayoutView="117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B27" sqref="B27"/>
    </sheetView>
  </sheetViews>
  <sheetFormatPr baseColWidth="10" defaultColWidth="9.1640625" defaultRowHeight="13"/>
  <cols>
    <col min="1" max="1" width="6.5" customWidth="1"/>
    <col min="2" max="2" width="56.33203125" customWidth="1"/>
    <col min="3" max="3" width="14.5" customWidth="1"/>
    <col min="4" max="4" width="15.1640625" customWidth="1"/>
    <col min="5" max="10" width="14.5" customWidth="1"/>
    <col min="11" max="11" width="16.33203125" customWidth="1"/>
    <col min="12" max="16" width="14.5" customWidth="1"/>
    <col min="17" max="17" width="11.5" customWidth="1"/>
    <col min="18" max="50" width="11.33203125" customWidth="1"/>
  </cols>
  <sheetData>
    <row r="1" spans="1:97" ht="19.5" customHeight="1">
      <c r="A1" s="1" t="s">
        <v>0</v>
      </c>
      <c r="B1" s="2"/>
      <c r="C1" s="326"/>
      <c r="D1" s="326"/>
      <c r="E1" s="326"/>
      <c r="F1" s="326"/>
      <c r="G1" s="326"/>
      <c r="H1" s="326">
        <f>H6-H28</f>
        <v>283.61252375108995</v>
      </c>
      <c r="I1" s="326"/>
      <c r="J1" s="326"/>
      <c r="K1" s="326"/>
      <c r="L1" s="326"/>
      <c r="M1" s="326"/>
      <c r="N1" s="326"/>
      <c r="O1" s="3"/>
    </row>
    <row r="2" spans="1:97" ht="19.5" customHeight="1">
      <c r="A2" s="1" t="s">
        <v>1</v>
      </c>
      <c r="B2" s="2"/>
      <c r="C2" s="4"/>
      <c r="D2" s="4"/>
      <c r="E2" s="4"/>
      <c r="F2" s="327"/>
      <c r="G2" s="4"/>
      <c r="H2" s="327"/>
      <c r="I2" s="4"/>
      <c r="J2" s="4"/>
      <c r="K2" s="4"/>
      <c r="L2" s="4"/>
      <c r="M2" s="4"/>
      <c r="N2" s="4"/>
      <c r="O2" s="4"/>
    </row>
    <row r="3" spans="1:97" ht="30.75" customHeight="1">
      <c r="A3" s="5" t="s">
        <v>2</v>
      </c>
      <c r="B3" s="506" t="s">
        <v>3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8"/>
      <c r="CS3" t="e">
        <f>CR3/CQ3-1</f>
        <v>#DIV/0!</v>
      </c>
    </row>
    <row r="4" spans="1:97" ht="17">
      <c r="A4" s="509"/>
      <c r="B4" s="510"/>
      <c r="C4" s="328" t="s">
        <v>664</v>
      </c>
      <c r="D4" s="328" t="s">
        <v>665</v>
      </c>
      <c r="E4" s="328" t="s">
        <v>666</v>
      </c>
      <c r="F4" s="328" t="s">
        <v>667</v>
      </c>
      <c r="G4" s="328" t="s">
        <v>668</v>
      </c>
      <c r="H4" s="328" t="s">
        <v>669</v>
      </c>
      <c r="I4" s="328" t="s">
        <v>670</v>
      </c>
      <c r="J4" s="328" t="s">
        <v>671</v>
      </c>
      <c r="K4" s="328" t="s">
        <v>672</v>
      </c>
      <c r="L4" s="328" t="s">
        <v>673</v>
      </c>
      <c r="M4" s="328" t="s">
        <v>674</v>
      </c>
      <c r="N4" s="328" t="s">
        <v>675</v>
      </c>
      <c r="O4" s="328" t="s">
        <v>676</v>
      </c>
    </row>
    <row r="5" spans="1:97" ht="33" customHeight="1">
      <c r="A5" s="7"/>
      <c r="B5" s="8" t="s">
        <v>5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9"/>
      <c r="Q5" s="9"/>
    </row>
    <row r="6" spans="1:97" s="12" customFormat="1" ht="24.75" customHeight="1">
      <c r="A6" s="7" t="s">
        <v>6</v>
      </c>
      <c r="B6" s="10" t="s">
        <v>677</v>
      </c>
      <c r="C6" s="11">
        <v>119.92088757841668</v>
      </c>
      <c r="D6" s="11">
        <v>209.70252806351661</v>
      </c>
      <c r="E6" s="11">
        <v>167.72500482506666</v>
      </c>
      <c r="F6" s="11">
        <v>254.90828981966669</v>
      </c>
      <c r="G6" s="11">
        <v>254.46532885784998</v>
      </c>
      <c r="H6" s="11">
        <v>293.50589196342327</v>
      </c>
      <c r="I6" s="11">
        <v>215.27113434776678</v>
      </c>
      <c r="J6" s="11">
        <v>216.51266854441667</v>
      </c>
      <c r="K6" s="11">
        <v>282.90960635104994</v>
      </c>
      <c r="L6" s="11">
        <v>222.14572915611114</v>
      </c>
      <c r="M6" s="11">
        <v>221.38474083756108</v>
      </c>
      <c r="N6" s="11">
        <v>520.96388180615986</v>
      </c>
      <c r="O6" s="11">
        <v>2978.4756921510057</v>
      </c>
      <c r="P6" s="330"/>
      <c r="Q6" s="9"/>
      <c r="R6" s="9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97" ht="24.75" customHeight="1">
      <c r="A7" s="13" t="s">
        <v>8</v>
      </c>
      <c r="B7" s="14" t="s">
        <v>9</v>
      </c>
      <c r="C7" s="15">
        <v>105.02660102975001</v>
      </c>
      <c r="D7" s="15">
        <v>203.23452362984995</v>
      </c>
      <c r="E7" s="15">
        <v>161.5969056964</v>
      </c>
      <c r="F7" s="15">
        <v>223.10544552800002</v>
      </c>
      <c r="G7" s="15">
        <v>216.34278352084999</v>
      </c>
      <c r="H7" s="15">
        <v>252.77786328108994</v>
      </c>
      <c r="I7" s="15">
        <v>202.19230260960009</v>
      </c>
      <c r="J7" s="15">
        <v>198.03384471824998</v>
      </c>
      <c r="K7" s="15">
        <v>273.16574725004995</v>
      </c>
      <c r="L7" s="15">
        <v>200.96499514500005</v>
      </c>
      <c r="M7" s="15">
        <v>203.40101346244998</v>
      </c>
      <c r="N7" s="15">
        <v>354.23333507215989</v>
      </c>
      <c r="O7" s="15">
        <v>2593.13536094345</v>
      </c>
      <c r="P7" s="378">
        <f>+O7/O6</f>
        <v>0.87062498706199976</v>
      </c>
      <c r="Q7" s="9"/>
    </row>
    <row r="8" spans="1:97" s="20" customFormat="1" ht="24.75" customHeight="1">
      <c r="A8" s="17" t="s">
        <v>10</v>
      </c>
      <c r="B8" s="18" t="s">
        <v>11</v>
      </c>
      <c r="C8" s="19">
        <v>22.426760687000002</v>
      </c>
      <c r="D8" s="19">
        <v>93.831624074999993</v>
      </c>
      <c r="E8" s="19">
        <v>42.884900180000002</v>
      </c>
      <c r="F8" s="19">
        <v>69.039584891000004</v>
      </c>
      <c r="G8" s="19">
        <v>68.063994446999999</v>
      </c>
      <c r="H8" s="19">
        <v>108.35330903929001</v>
      </c>
      <c r="I8" s="19">
        <v>48.817341464000002</v>
      </c>
      <c r="J8" s="19">
        <v>44.612998935</v>
      </c>
      <c r="K8" s="19">
        <v>81.027772745999997</v>
      </c>
      <c r="L8" s="19">
        <v>43.945892540999999</v>
      </c>
      <c r="M8" s="19">
        <v>42.660672235150003</v>
      </c>
      <c r="N8" s="19">
        <v>105.81307752805999</v>
      </c>
      <c r="O8" s="19">
        <v>771.47792876849996</v>
      </c>
      <c r="P8" s="332"/>
    </row>
    <row r="9" spans="1:97" s="24" customFormat="1" ht="24.75" customHeight="1">
      <c r="A9" s="21"/>
      <c r="B9" s="22" t="s">
        <v>12</v>
      </c>
      <c r="C9" s="15">
        <v>4.4927178510000001</v>
      </c>
      <c r="D9" s="15">
        <v>67.015815071000006</v>
      </c>
      <c r="E9" s="15">
        <v>9.7251971959999999</v>
      </c>
      <c r="F9" s="15">
        <v>39.670446939000001</v>
      </c>
      <c r="G9" s="15">
        <v>36.491832031000001</v>
      </c>
      <c r="H9" s="15">
        <v>74.281061204290012</v>
      </c>
      <c r="I9" s="15">
        <v>18.172526522999998</v>
      </c>
      <c r="J9" s="15">
        <v>11.806074769</v>
      </c>
      <c r="K9" s="15">
        <v>42.158533669999997</v>
      </c>
      <c r="L9" s="15">
        <v>9.7575923860000007</v>
      </c>
      <c r="M9" s="15">
        <v>7.2073628776499996</v>
      </c>
      <c r="N9" s="15">
        <v>19.678697514059998</v>
      </c>
      <c r="O9" s="23">
        <v>340.45785803199999</v>
      </c>
      <c r="P9" s="333"/>
    </row>
    <row r="10" spans="1:97" s="24" customFormat="1" ht="24.75" customHeight="1">
      <c r="A10" s="21"/>
      <c r="B10" s="22" t="s">
        <v>13</v>
      </c>
      <c r="C10" s="15">
        <v>17.934042836</v>
      </c>
      <c r="D10" s="15">
        <v>26.815734003999999</v>
      </c>
      <c r="E10" s="15">
        <v>33.159702983999999</v>
      </c>
      <c r="F10" s="15">
        <v>29.369137951999999</v>
      </c>
      <c r="G10" s="15">
        <v>30.030990863</v>
      </c>
      <c r="H10" s="15">
        <v>33.893334447999997</v>
      </c>
      <c r="I10" s="15">
        <v>30.168442132999999</v>
      </c>
      <c r="J10" s="15">
        <v>31.643025456</v>
      </c>
      <c r="K10" s="15">
        <v>38.263979943999999</v>
      </c>
      <c r="L10" s="15">
        <v>34.188300155</v>
      </c>
      <c r="M10" s="15">
        <v>34.345680905499997</v>
      </c>
      <c r="N10" s="15">
        <v>84.293880817000002</v>
      </c>
      <c r="O10" s="23">
        <v>424.10625249749995</v>
      </c>
      <c r="P10" s="324"/>
    </row>
    <row r="11" spans="1:97" ht="24.75" customHeight="1">
      <c r="A11" s="13"/>
      <c r="B11" s="22" t="s">
        <v>14</v>
      </c>
      <c r="C11" s="15">
        <v>3.5259621800000001</v>
      </c>
      <c r="D11" s="15">
        <v>3.6089195510000001</v>
      </c>
      <c r="E11" s="15">
        <v>3.5638571680000002</v>
      </c>
      <c r="F11" s="15">
        <v>3.872826189</v>
      </c>
      <c r="G11" s="15">
        <v>4.3343634059999996</v>
      </c>
      <c r="H11" s="15">
        <v>4.7690999999999999</v>
      </c>
      <c r="I11" s="15">
        <v>4.1063719110000001</v>
      </c>
      <c r="J11" s="15">
        <v>3.9910266189999999</v>
      </c>
      <c r="K11" s="15">
        <v>4.1729852679999997</v>
      </c>
      <c r="L11" s="15">
        <v>4.1278714169999997</v>
      </c>
      <c r="M11" s="15">
        <v>4.2359608120000001</v>
      </c>
      <c r="N11" s="15">
        <v>3.890334948</v>
      </c>
      <c r="O11" s="23">
        <v>48.199579469000007</v>
      </c>
      <c r="P11" s="334"/>
    </row>
    <row r="12" spans="1:97" s="20" customFormat="1" ht="24.75" customHeight="1">
      <c r="A12" s="17" t="s">
        <v>15</v>
      </c>
      <c r="B12" s="18" t="s">
        <v>16</v>
      </c>
      <c r="C12" s="19">
        <v>2.7573629089999998</v>
      </c>
      <c r="D12" s="19">
        <v>2.61595376</v>
      </c>
      <c r="E12" s="19">
        <v>2.9076442999999998</v>
      </c>
      <c r="F12" s="19">
        <v>2.490110547</v>
      </c>
      <c r="G12" s="19">
        <v>2.5665548779999998</v>
      </c>
      <c r="H12" s="19">
        <v>2.6591386455000001</v>
      </c>
      <c r="I12" s="19">
        <v>2.3947181976</v>
      </c>
      <c r="J12" s="19">
        <v>2.6582414879999998</v>
      </c>
      <c r="K12" s="19">
        <v>3.3374417200000002</v>
      </c>
      <c r="L12" s="19">
        <v>2.7098879230000001</v>
      </c>
      <c r="M12" s="19">
        <v>2.527106216</v>
      </c>
      <c r="N12" s="19">
        <v>3.4383515529999999</v>
      </c>
      <c r="O12" s="19">
        <v>33.062512137100001</v>
      </c>
      <c r="P12" s="335"/>
    </row>
    <row r="13" spans="1:97" s="20" customFormat="1" ht="24.75" customHeight="1">
      <c r="A13" s="17"/>
      <c r="B13" s="336" t="s">
        <v>678</v>
      </c>
      <c r="C13" s="23">
        <v>2.0124832389999998</v>
      </c>
      <c r="D13" s="23">
        <v>1.89725347125</v>
      </c>
      <c r="E13" s="23">
        <v>2.1015151319999998</v>
      </c>
      <c r="F13" s="23">
        <v>1.78842665125</v>
      </c>
      <c r="G13" s="23">
        <v>1.8431398969999999</v>
      </c>
      <c r="H13" s="23">
        <v>1.80188747</v>
      </c>
      <c r="I13" s="23">
        <v>1.7225428603499999</v>
      </c>
      <c r="J13" s="23">
        <v>1.91209852525</v>
      </c>
      <c r="K13" s="23">
        <v>2.4234546809999999</v>
      </c>
      <c r="L13" s="23">
        <v>1.94053751</v>
      </c>
      <c r="M13" s="23">
        <v>1.815205103</v>
      </c>
      <c r="N13" s="23">
        <v>1.9570526239999999</v>
      </c>
      <c r="O13" s="19">
        <v>23.215597164099997</v>
      </c>
      <c r="P13" s="335"/>
    </row>
    <row r="14" spans="1:97" s="20" customFormat="1" ht="24.75" customHeight="1">
      <c r="A14" s="17" t="s">
        <v>17</v>
      </c>
      <c r="B14" s="18" t="s">
        <v>18</v>
      </c>
      <c r="C14" s="19">
        <v>2.9091752030000002</v>
      </c>
      <c r="D14" s="19">
        <v>2.9296927820000001</v>
      </c>
      <c r="E14" s="19">
        <v>2.1601955249999998</v>
      </c>
      <c r="F14" s="19">
        <v>14.781319387999998</v>
      </c>
      <c r="G14" s="19">
        <v>8.0672404310000001</v>
      </c>
      <c r="H14" s="19">
        <v>3.7770994529999999</v>
      </c>
      <c r="I14" s="19">
        <v>2.8712175360000001</v>
      </c>
      <c r="J14" s="19">
        <v>2.709623493</v>
      </c>
      <c r="K14" s="19">
        <v>3.352721415</v>
      </c>
      <c r="L14" s="19">
        <v>2.2635045109999998</v>
      </c>
      <c r="M14" s="19">
        <v>4.7088193049999996</v>
      </c>
      <c r="N14" s="19">
        <v>4.9439580059999999</v>
      </c>
      <c r="O14" s="19">
        <v>55.474567048000004</v>
      </c>
      <c r="P14" s="337"/>
      <c r="Q14" s="322"/>
    </row>
    <row r="15" spans="1:97" s="20" customFormat="1" ht="24.75" customHeight="1">
      <c r="A15" s="17" t="s">
        <v>19</v>
      </c>
      <c r="B15" s="18" t="s">
        <v>20</v>
      </c>
      <c r="C15" s="19">
        <v>56.58216127275</v>
      </c>
      <c r="D15" s="19">
        <v>72.177608310850005</v>
      </c>
      <c r="E15" s="19">
        <v>91.260336677399991</v>
      </c>
      <c r="F15" s="19">
        <v>105.312113428</v>
      </c>
      <c r="G15" s="19">
        <v>104.51956456085</v>
      </c>
      <c r="H15" s="19">
        <v>102.69047499930001</v>
      </c>
      <c r="I15" s="19">
        <v>111.718971192</v>
      </c>
      <c r="J15" s="19">
        <v>110.45342927725</v>
      </c>
      <c r="K15" s="19">
        <v>140.85953299604998</v>
      </c>
      <c r="L15" s="19">
        <v>102.860412917</v>
      </c>
      <c r="M15" s="19">
        <v>108.6214052453</v>
      </c>
      <c r="N15" s="19">
        <v>185.9898553491</v>
      </c>
      <c r="O15" s="19">
        <v>1293.04586622585</v>
      </c>
      <c r="P15" s="337"/>
    </row>
    <row r="16" spans="1:97" s="27" customFormat="1" ht="24.75" customHeight="1">
      <c r="A16" s="25"/>
      <c r="B16" s="26" t="s">
        <v>21</v>
      </c>
      <c r="C16" s="23">
        <v>22.391858104000001</v>
      </c>
      <c r="D16" s="23">
        <v>8.4480285629999994</v>
      </c>
      <c r="E16" s="23">
        <v>25.340967991999999</v>
      </c>
      <c r="F16" s="23">
        <v>29.028381565</v>
      </c>
      <c r="G16" s="23">
        <v>31.696404598000001</v>
      </c>
      <c r="H16" s="23">
        <v>28.041216324000001</v>
      </c>
      <c r="I16" s="23">
        <v>27.893676265</v>
      </c>
      <c r="J16" s="23">
        <v>32.623091948999999</v>
      </c>
      <c r="K16" s="23">
        <v>36.998858228000003</v>
      </c>
      <c r="L16" s="23">
        <v>22.812264605999999</v>
      </c>
      <c r="M16" s="23">
        <v>31.778196700999999</v>
      </c>
      <c r="N16" s="23">
        <v>44.337900591999997</v>
      </c>
      <c r="O16" s="23">
        <v>341.39084548700004</v>
      </c>
      <c r="P16" s="338"/>
    </row>
    <row r="17" spans="1:19" s="30" customFormat="1" ht="24.75" hidden="1" customHeight="1">
      <c r="A17" s="28"/>
      <c r="B17" s="29" t="s">
        <v>22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>
        <v>0</v>
      </c>
    </row>
    <row r="18" spans="1:19" s="30" customFormat="1" ht="24.75" customHeight="1">
      <c r="A18" s="28"/>
      <c r="B18" s="26" t="s">
        <v>23</v>
      </c>
      <c r="C18" s="23">
        <v>22.32</v>
      </c>
      <c r="D18" s="23">
        <v>33.770000000000003</v>
      </c>
      <c r="E18" s="23">
        <v>27.55</v>
      </c>
      <c r="F18" s="23">
        <v>36.18</v>
      </c>
      <c r="G18" s="23">
        <v>42.24</v>
      </c>
      <c r="H18" s="15">
        <v>43.68</v>
      </c>
      <c r="I18" s="23">
        <v>45.48</v>
      </c>
      <c r="J18" s="23">
        <v>45.29</v>
      </c>
      <c r="K18" s="23">
        <v>71.010000000000005</v>
      </c>
      <c r="L18" s="23">
        <v>46.94</v>
      </c>
      <c r="M18" s="23">
        <v>49.71</v>
      </c>
      <c r="N18" s="23">
        <v>107.94</v>
      </c>
      <c r="O18" s="23">
        <v>572.1099999999999</v>
      </c>
      <c r="P18" s="339"/>
    </row>
    <row r="19" spans="1:19" s="30" customFormat="1" ht="24.75" hidden="1" customHeight="1">
      <c r="A19" s="28"/>
      <c r="B19" s="29" t="s">
        <v>24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0</v>
      </c>
      <c r="P19" s="339"/>
    </row>
    <row r="20" spans="1:19" s="30" customFormat="1" ht="24.75" customHeight="1">
      <c r="A20" s="28"/>
      <c r="B20" s="29" t="s">
        <v>25</v>
      </c>
      <c r="C20" s="23">
        <v>6.1649035349999997</v>
      </c>
      <c r="D20" s="23">
        <v>12.609297687</v>
      </c>
      <c r="E20" s="23">
        <v>17.639662261000002</v>
      </c>
      <c r="F20" s="23">
        <v>9.7858247879999993</v>
      </c>
      <c r="G20" s="23">
        <v>8.3751808279999995</v>
      </c>
      <c r="H20" s="23">
        <v>6.004992981</v>
      </c>
      <c r="I20" s="23">
        <v>7.7117202740000002</v>
      </c>
      <c r="J20" s="23">
        <v>6.8418082059999996</v>
      </c>
      <c r="K20" s="23">
        <v>4.8167739530000002</v>
      </c>
      <c r="L20" s="23">
        <v>3.4137703849999999</v>
      </c>
      <c r="M20" s="23">
        <v>3.4735265970000002</v>
      </c>
      <c r="N20" s="23">
        <v>2.7559261739999998</v>
      </c>
      <c r="O20" s="23">
        <v>89.593387668999995</v>
      </c>
    </row>
    <row r="21" spans="1:19" s="20" customFormat="1" ht="27.75" customHeight="1">
      <c r="A21" s="17" t="s">
        <v>26</v>
      </c>
      <c r="B21" s="32" t="s">
        <v>27</v>
      </c>
      <c r="C21" s="19">
        <v>18.75</v>
      </c>
      <c r="D21" s="19">
        <v>27.55</v>
      </c>
      <c r="E21" s="19">
        <v>19.739999999999998</v>
      </c>
      <c r="F21" s="19">
        <v>27.24</v>
      </c>
      <c r="G21" s="19">
        <v>29.77</v>
      </c>
      <c r="H21" s="19">
        <v>31.83</v>
      </c>
      <c r="I21" s="19">
        <v>33.049999999999997</v>
      </c>
      <c r="J21" s="19">
        <v>33.119999999999997</v>
      </c>
      <c r="K21" s="19">
        <v>40.51</v>
      </c>
      <c r="L21" s="19">
        <v>45.08</v>
      </c>
      <c r="M21" s="19">
        <v>41.42</v>
      </c>
      <c r="N21" s="19">
        <v>45.49</v>
      </c>
      <c r="O21" s="19">
        <v>392.61</v>
      </c>
      <c r="P21" s="322"/>
    </row>
    <row r="22" spans="1:19" s="20" customFormat="1" ht="24.75" customHeight="1">
      <c r="A22" s="17"/>
      <c r="B22" s="18" t="s">
        <v>679</v>
      </c>
      <c r="C22" s="19"/>
      <c r="D22" s="19"/>
      <c r="E22" s="19"/>
      <c r="F22" s="19"/>
      <c r="G22" s="19"/>
      <c r="H22" s="19"/>
      <c r="I22" s="19"/>
      <c r="J22" s="19"/>
      <c r="K22" s="23">
        <v>3.77</v>
      </c>
      <c r="L22" s="23">
        <v>5.67</v>
      </c>
      <c r="M22" s="23">
        <v>5.95</v>
      </c>
      <c r="N22" s="23">
        <v>5.04</v>
      </c>
      <c r="O22" s="19">
        <v>19.489999999999998</v>
      </c>
      <c r="P22" s="322"/>
    </row>
    <row r="23" spans="1:19" s="27" customFormat="1" ht="24.75" hidden="1" customHeight="1">
      <c r="A23" s="25"/>
      <c r="B23" s="26" t="s">
        <v>28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9" ht="24.75" customHeight="1">
      <c r="A24" s="13" t="s">
        <v>29</v>
      </c>
      <c r="B24" s="33" t="s">
        <v>30</v>
      </c>
      <c r="C24" s="15">
        <v>1.601140958</v>
      </c>
      <c r="D24" s="15">
        <v>4.1296447020000002</v>
      </c>
      <c r="E24" s="15">
        <v>2.643829014</v>
      </c>
      <c r="F24" s="15">
        <v>4.2423172740000004</v>
      </c>
      <c r="G24" s="15">
        <v>3.355429204</v>
      </c>
      <c r="H24" s="15">
        <v>3.4678411439999999</v>
      </c>
      <c r="I24" s="15">
        <v>3.3400542199999999</v>
      </c>
      <c r="J24" s="15">
        <v>4.4795515249999998</v>
      </c>
      <c r="K24" s="15">
        <v>4.0782783729999998</v>
      </c>
      <c r="L24" s="15">
        <v>4.1052972529999998</v>
      </c>
      <c r="M24" s="15">
        <v>3.4630104610000001</v>
      </c>
      <c r="N24" s="15">
        <v>8.5580926359999996</v>
      </c>
      <c r="O24" s="15">
        <v>47.464486764</v>
      </c>
    </row>
    <row r="25" spans="1:19" s="20" customFormat="1" ht="24.75" customHeight="1">
      <c r="A25" s="17" t="s">
        <v>31</v>
      </c>
      <c r="B25" s="34" t="s">
        <v>32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322"/>
      <c r="Q25" s="322"/>
      <c r="R25" s="322"/>
      <c r="S25" s="322"/>
    </row>
    <row r="26" spans="1:19" s="20" customFormat="1" ht="24.75" customHeight="1">
      <c r="A26" s="17" t="s">
        <v>33</v>
      </c>
      <c r="B26" s="34" t="s">
        <v>34</v>
      </c>
      <c r="C26" s="19">
        <v>3.4666666666666663</v>
      </c>
      <c r="D26" s="19">
        <v>3.4666666666666663</v>
      </c>
      <c r="E26" s="19">
        <v>3.4666666666666663</v>
      </c>
      <c r="F26" s="19">
        <v>17.866666666666667</v>
      </c>
      <c r="G26" s="19">
        <v>11.9175</v>
      </c>
      <c r="H26" s="19">
        <v>17.051906448333327</v>
      </c>
      <c r="I26" s="19">
        <v>7.6100058131666666</v>
      </c>
      <c r="J26" s="19">
        <v>7.6100058131666666</v>
      </c>
      <c r="K26" s="19">
        <v>5.32</v>
      </c>
      <c r="L26" s="19">
        <v>6.846670542111112</v>
      </c>
      <c r="M26" s="19">
        <v>10.782412542111111</v>
      </c>
      <c r="N26" s="19">
        <v>35.20515245</v>
      </c>
      <c r="O26" s="19">
        <v>130.61032027555558</v>
      </c>
      <c r="P26" s="378">
        <f>+O26/O6</f>
        <v>4.3851397081985578E-2</v>
      </c>
    </row>
    <row r="27" spans="1:19" ht="24.75" customHeight="1">
      <c r="A27" s="13"/>
      <c r="B27" s="14" t="s">
        <v>35</v>
      </c>
      <c r="C27" s="15">
        <v>0</v>
      </c>
      <c r="D27" s="15">
        <v>0</v>
      </c>
      <c r="E27" s="15">
        <v>0</v>
      </c>
      <c r="F27" s="15">
        <v>0</v>
      </c>
      <c r="G27" s="15">
        <v>4.4175000000000004</v>
      </c>
      <c r="H27" s="15">
        <v>7.1585382360000001</v>
      </c>
      <c r="I27" s="15">
        <v>0</v>
      </c>
      <c r="J27" s="15">
        <v>0</v>
      </c>
      <c r="K27" s="15">
        <v>0</v>
      </c>
      <c r="L27" s="15">
        <v>0</v>
      </c>
      <c r="M27" s="15">
        <v>3.9357419999999999</v>
      </c>
      <c r="N27" s="15">
        <v>1.590695725</v>
      </c>
      <c r="O27" s="15">
        <v>17.102475961</v>
      </c>
    </row>
    <row r="28" spans="1:19" ht="24.75" customHeight="1">
      <c r="A28" s="13"/>
      <c r="B28" s="14" t="s">
        <v>36</v>
      </c>
      <c r="C28" s="15">
        <v>3.4666666666666663</v>
      </c>
      <c r="D28" s="15">
        <v>3.4666666666666663</v>
      </c>
      <c r="E28" s="15">
        <v>3.4666666666666663</v>
      </c>
      <c r="F28" s="15">
        <v>17.866666666666667</v>
      </c>
      <c r="G28" s="15">
        <v>7.5</v>
      </c>
      <c r="H28" s="15">
        <v>9.8933682123333284</v>
      </c>
      <c r="I28" s="15">
        <v>7.6100058131666666</v>
      </c>
      <c r="J28" s="15">
        <v>7.6100058131666666</v>
      </c>
      <c r="K28" s="15">
        <v>5.32</v>
      </c>
      <c r="L28" s="15">
        <v>6.846670542111112</v>
      </c>
      <c r="M28" s="15">
        <v>6.846670542111112</v>
      </c>
      <c r="N28" s="15">
        <v>33.614456724999997</v>
      </c>
      <c r="O28" s="15">
        <v>113.50784431455554</v>
      </c>
    </row>
    <row r="29" spans="1:19" s="20" customFormat="1" ht="24.75" customHeight="1">
      <c r="A29" s="17" t="s">
        <v>37</v>
      </c>
      <c r="B29" s="34" t="s">
        <v>38</v>
      </c>
      <c r="C29" s="19">
        <v>11.427619882</v>
      </c>
      <c r="D29" s="19">
        <v>3.0013377669999999</v>
      </c>
      <c r="E29" s="19">
        <v>2.6614324620000001</v>
      </c>
      <c r="F29" s="19">
        <v>13.936177624999999</v>
      </c>
      <c r="G29" s="19">
        <v>26.205045337000001</v>
      </c>
      <c r="H29" s="19">
        <v>23.676122234000001</v>
      </c>
      <c r="I29" s="19">
        <v>5.468825925</v>
      </c>
      <c r="J29" s="19">
        <v>10.868818013</v>
      </c>
      <c r="K29" s="19">
        <v>4.4238591009999997</v>
      </c>
      <c r="L29" s="19">
        <v>14.334063469</v>
      </c>
      <c r="M29" s="19">
        <v>7.2013148329999996</v>
      </c>
      <c r="N29" s="19">
        <v>131.52539428399999</v>
      </c>
      <c r="O29" s="19">
        <v>254.730010932</v>
      </c>
      <c r="P29" s="378">
        <f>+O29/O6</f>
        <v>8.5523615856014659E-2</v>
      </c>
    </row>
    <row r="30" spans="1:19" s="27" customFormat="1" ht="24.75" customHeight="1">
      <c r="A30" s="25"/>
      <c r="B30" s="22" t="s">
        <v>39</v>
      </c>
      <c r="C30" s="23">
        <v>0</v>
      </c>
      <c r="D30" s="23">
        <v>0</v>
      </c>
      <c r="E30" s="23">
        <v>0</v>
      </c>
      <c r="F30" s="23">
        <v>4.9000000000000004</v>
      </c>
      <c r="G30" s="23">
        <v>23.979483623</v>
      </c>
      <c r="H30" s="23">
        <v>0</v>
      </c>
      <c r="I30" s="23">
        <v>0.26846590999999997</v>
      </c>
      <c r="J30" s="23">
        <v>1.0285675439999999</v>
      </c>
      <c r="K30" s="23">
        <v>0.21812104099999999</v>
      </c>
      <c r="L30" s="23">
        <v>8.4040000000000004E-2</v>
      </c>
      <c r="M30" s="23">
        <v>0.32400000000000001</v>
      </c>
      <c r="N30" s="23">
        <v>98.536317679999996</v>
      </c>
      <c r="O30" s="23">
        <v>129.33899579799998</v>
      </c>
    </row>
    <row r="31" spans="1:19" s="27" customFormat="1" ht="24.75" customHeight="1">
      <c r="A31" s="25"/>
      <c r="B31" s="22" t="s">
        <v>40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</row>
    <row r="32" spans="1:19" s="27" customFormat="1" ht="24.75" customHeight="1">
      <c r="A32" s="25"/>
      <c r="B32" s="22" t="s">
        <v>41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338"/>
    </row>
    <row r="33" spans="1:81" s="27" customFormat="1" ht="24.75" customHeight="1">
      <c r="A33" s="25"/>
      <c r="B33" s="22" t="s">
        <v>42</v>
      </c>
      <c r="C33" s="23">
        <v>11.427619882</v>
      </c>
      <c r="D33" s="23">
        <v>3.0013377669999999</v>
      </c>
      <c r="E33" s="23">
        <v>2.6614324620000001</v>
      </c>
      <c r="F33" s="23">
        <v>9.0361776250000005</v>
      </c>
      <c r="G33" s="23">
        <v>2.2255617139999999</v>
      </c>
      <c r="H33" s="23">
        <v>23.676122234000001</v>
      </c>
      <c r="I33" s="23">
        <v>5.2003600150000002</v>
      </c>
      <c r="J33" s="23">
        <v>9.8402504690000008</v>
      </c>
      <c r="K33" s="23">
        <v>4.2057380599999998</v>
      </c>
      <c r="L33" s="23">
        <v>14.250023469</v>
      </c>
      <c r="M33" s="23">
        <v>6.8773148329999998</v>
      </c>
      <c r="N33" s="23">
        <v>32.989076603999997</v>
      </c>
      <c r="O33" s="23">
        <v>125.39101513400001</v>
      </c>
      <c r="P33" s="338"/>
    </row>
    <row r="34" spans="1:81" s="12" customFormat="1" ht="24.75" customHeight="1">
      <c r="A34" s="7" t="s">
        <v>43</v>
      </c>
      <c r="B34" s="10" t="s">
        <v>44</v>
      </c>
      <c r="C34" s="11">
        <v>268.37330093841985</v>
      </c>
      <c r="D34" s="11">
        <v>305.40427907700007</v>
      </c>
      <c r="E34" s="11">
        <v>238.85570615875525</v>
      </c>
      <c r="F34" s="11">
        <v>333.58114497799988</v>
      </c>
      <c r="G34" s="11">
        <v>197.69231785400007</v>
      </c>
      <c r="H34" s="11">
        <v>189.32140842094</v>
      </c>
      <c r="I34" s="11">
        <v>426.77923087273842</v>
      </c>
      <c r="J34" s="11">
        <v>206.3346732618823</v>
      </c>
      <c r="K34" s="11">
        <v>299.37030281599999</v>
      </c>
      <c r="L34" s="11">
        <v>356.19148102599996</v>
      </c>
      <c r="M34" s="11">
        <v>219.47973132300004</v>
      </c>
      <c r="N34" s="11">
        <v>174.83898006804998</v>
      </c>
      <c r="O34" s="11">
        <v>3216.2225567947858</v>
      </c>
      <c r="P34" s="330"/>
      <c r="Q34" s="330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ht="24.75" customHeight="1">
      <c r="A35" s="13" t="s">
        <v>45</v>
      </c>
      <c r="B35" s="14" t="s">
        <v>46</v>
      </c>
      <c r="C35" s="15">
        <v>68.518117927999995</v>
      </c>
      <c r="D35" s="15">
        <v>69.476670576000004</v>
      </c>
      <c r="E35" s="15">
        <v>71.048664298999995</v>
      </c>
      <c r="F35" s="15">
        <v>73.420780715000006</v>
      </c>
      <c r="G35" s="15">
        <v>73.945674523999998</v>
      </c>
      <c r="H35" s="15">
        <v>75.592874877</v>
      </c>
      <c r="I35" s="15">
        <v>77.060560578999997</v>
      </c>
      <c r="J35" s="15">
        <v>74.874833873</v>
      </c>
      <c r="K35" s="15">
        <v>75.689607649999999</v>
      </c>
      <c r="L35" s="15">
        <v>75.931414341000007</v>
      </c>
      <c r="M35" s="15">
        <v>76.506284461999996</v>
      </c>
      <c r="N35" s="15">
        <v>73.714751677050003</v>
      </c>
      <c r="O35" s="15">
        <v>885.78023550105002</v>
      </c>
      <c r="P35" s="340"/>
      <c r="Q35" s="33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</row>
    <row r="36" spans="1:81" ht="24.75" customHeight="1">
      <c r="A36" s="13" t="s">
        <v>47</v>
      </c>
      <c r="B36" s="14" t="s">
        <v>48</v>
      </c>
      <c r="C36" s="15">
        <v>7.9037568660000002</v>
      </c>
      <c r="D36" s="15">
        <v>20.792107266999999</v>
      </c>
      <c r="E36" s="15">
        <v>26.184682087999999</v>
      </c>
      <c r="F36" s="15">
        <v>23.867882668</v>
      </c>
      <c r="G36" s="15">
        <v>23.972978092000002</v>
      </c>
      <c r="H36" s="15">
        <v>26.147113579999999</v>
      </c>
      <c r="I36" s="15">
        <v>40.647116462</v>
      </c>
      <c r="J36" s="15">
        <v>37.651935950000002</v>
      </c>
      <c r="K36" s="15">
        <v>92.035685032000004</v>
      </c>
      <c r="L36" s="15">
        <v>28.100037323999999</v>
      </c>
      <c r="M36" s="15">
        <v>31.967763404999999</v>
      </c>
      <c r="N36" s="15">
        <v>17.731299729</v>
      </c>
      <c r="O36" s="15">
        <v>377.00235846300001</v>
      </c>
      <c r="P36" s="341"/>
      <c r="Q36" s="341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</row>
    <row r="37" spans="1:81" s="27" customFormat="1" ht="24.75" customHeight="1">
      <c r="A37" s="25"/>
      <c r="B37" s="22" t="s">
        <v>49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341"/>
    </row>
    <row r="38" spans="1:81" s="27" customFormat="1" ht="24.75" customHeight="1">
      <c r="A38" s="25"/>
      <c r="B38" s="22" t="s">
        <v>50</v>
      </c>
      <c r="C38" s="23">
        <v>0</v>
      </c>
      <c r="D38" s="23">
        <v>3.0295420000000002</v>
      </c>
      <c r="E38" s="35">
        <v>4.3778131999999997E-2</v>
      </c>
      <c r="F38" s="35">
        <v>2.3018397259999999</v>
      </c>
      <c r="G38" s="23">
        <v>0.46943890900000002</v>
      </c>
      <c r="H38" s="23">
        <v>0.48827235000000002</v>
      </c>
      <c r="I38" s="23">
        <v>8.0589620000000001E-2</v>
      </c>
      <c r="J38" s="23">
        <v>0.53169557499999998</v>
      </c>
      <c r="K38" s="23">
        <v>3.4835339999999999E-2</v>
      </c>
      <c r="L38" s="23">
        <v>0.44357902599999999</v>
      </c>
      <c r="M38" s="23">
        <v>9.9966250000000006E-2</v>
      </c>
      <c r="N38" s="23">
        <v>0.84010353999999998</v>
      </c>
      <c r="O38" s="23">
        <v>8.3636404679999981</v>
      </c>
      <c r="P38" s="342"/>
    </row>
    <row r="39" spans="1:81" ht="24.75" customHeight="1">
      <c r="A39" s="13" t="s">
        <v>51</v>
      </c>
      <c r="B39" s="14" t="s">
        <v>52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343"/>
      <c r="Q39" s="9"/>
    </row>
    <row r="40" spans="1:81" s="36" customFormat="1" ht="24.75" customHeight="1">
      <c r="A40" s="13" t="s">
        <v>53</v>
      </c>
      <c r="B40" s="14" t="s">
        <v>54</v>
      </c>
      <c r="C40" s="15">
        <v>33.155693006419924</v>
      </c>
      <c r="D40" s="15">
        <v>59.015222622000003</v>
      </c>
      <c r="E40" s="15">
        <v>18.975449560755226</v>
      </c>
      <c r="F40" s="15">
        <v>16.255974705</v>
      </c>
      <c r="G40" s="15">
        <v>19.898600005999999</v>
      </c>
      <c r="H40" s="15">
        <v>31.933324530939995</v>
      </c>
      <c r="I40" s="15">
        <v>28.34490484473848</v>
      </c>
      <c r="J40" s="15">
        <v>4.8946773188822696</v>
      </c>
      <c r="K40" s="15">
        <v>17.389521501000001</v>
      </c>
      <c r="L40" s="15">
        <v>33.72992936</v>
      </c>
      <c r="M40" s="15">
        <v>21.438774262999999</v>
      </c>
      <c r="N40" s="15">
        <v>21.498266472000001</v>
      </c>
      <c r="O40" s="15">
        <v>306.5303381907359</v>
      </c>
      <c r="P40" s="344"/>
      <c r="Q40" s="345"/>
    </row>
    <row r="41" spans="1:81" s="38" customFormat="1" ht="24.75" customHeight="1">
      <c r="A41" s="25"/>
      <c r="B41" s="37" t="s">
        <v>55</v>
      </c>
      <c r="C41" s="23">
        <v>27.842426279954047</v>
      </c>
      <c r="D41" s="23">
        <v>55.497239103397497</v>
      </c>
      <c r="E41" s="23">
        <v>9.8510272720052239</v>
      </c>
      <c r="F41" s="23">
        <v>13.255043940625001</v>
      </c>
      <c r="G41" s="23">
        <v>19.066905574043417</v>
      </c>
      <c r="H41" s="23">
        <v>19.870985368387498</v>
      </c>
      <c r="I41" s="23">
        <v>24.620799182133826</v>
      </c>
      <c r="J41" s="23">
        <v>4.8884114310493896</v>
      </c>
      <c r="K41" s="23">
        <v>13.505786358532498</v>
      </c>
      <c r="L41" s="23">
        <v>30.6929941538774</v>
      </c>
      <c r="M41" s="23">
        <v>19.530866137977711</v>
      </c>
      <c r="N41" s="23">
        <v>15.51424526607936</v>
      </c>
      <c r="O41" s="15">
        <v>254.13673006806289</v>
      </c>
      <c r="P41" s="346"/>
      <c r="Q41" s="347"/>
    </row>
    <row r="42" spans="1:81" s="38" customFormat="1" ht="24.75" customHeight="1">
      <c r="A42" s="25"/>
      <c r="B42" s="37" t="s">
        <v>56</v>
      </c>
      <c r="C42" s="23">
        <v>5.922981931465876</v>
      </c>
      <c r="D42" s="23">
        <v>3.5179835186025001</v>
      </c>
      <c r="E42" s="23">
        <v>9.1244222887500008</v>
      </c>
      <c r="F42" s="23">
        <v>2.3912155593750004</v>
      </c>
      <c r="G42" s="23">
        <v>0.83169443195657988</v>
      </c>
      <c r="H42" s="23">
        <v>12.062339162552499</v>
      </c>
      <c r="I42" s="23">
        <v>3.7241056626046523</v>
      </c>
      <c r="J42" s="23">
        <v>6.2658878328799997E-3</v>
      </c>
      <c r="K42" s="23">
        <v>3.8837351424674997</v>
      </c>
      <c r="L42" s="23">
        <v>3.0369352061226</v>
      </c>
      <c r="M42" s="23">
        <v>1.90790812502229</v>
      </c>
      <c r="N42" s="23">
        <v>5.984021205920639</v>
      </c>
      <c r="O42" s="15">
        <v>52.393608122673022</v>
      </c>
      <c r="P42" s="343"/>
      <c r="Q42" s="348"/>
    </row>
    <row r="43" spans="1:81" ht="24.75" customHeight="1">
      <c r="A43" s="13" t="s">
        <v>57</v>
      </c>
      <c r="B43" s="14" t="s">
        <v>58</v>
      </c>
      <c r="C43" s="15">
        <v>18.193050045</v>
      </c>
      <c r="D43" s="15">
        <v>8.0654778809999996</v>
      </c>
      <c r="E43" s="15">
        <v>3.096469167</v>
      </c>
      <c r="F43" s="15">
        <v>15.208231532999999</v>
      </c>
      <c r="G43" s="15">
        <v>4.9973408680000002</v>
      </c>
      <c r="H43" s="15">
        <v>6.2321615130000003</v>
      </c>
      <c r="I43" s="15">
        <v>16.486872546000001</v>
      </c>
      <c r="J43" s="15">
        <v>1.48734408</v>
      </c>
      <c r="K43" s="15">
        <v>3.2014654720000002</v>
      </c>
      <c r="L43" s="15">
        <v>5.2288760439999997</v>
      </c>
      <c r="M43" s="15">
        <v>3.8959495409999998</v>
      </c>
      <c r="N43" s="15">
        <v>4.9343836679999997</v>
      </c>
      <c r="O43" s="15">
        <v>91.027622357999988</v>
      </c>
      <c r="P43" s="379"/>
      <c r="Q43" s="9"/>
    </row>
    <row r="44" spans="1:81" s="27" customFormat="1" ht="24.75" customHeight="1">
      <c r="A44" s="25"/>
      <c r="B44" s="349" t="s">
        <v>680</v>
      </c>
      <c r="C44" s="23">
        <v>0.85459504500000005</v>
      </c>
      <c r="D44" s="23">
        <v>0.80568092499999999</v>
      </c>
      <c r="E44" s="23">
        <v>1.000560667</v>
      </c>
      <c r="F44" s="23">
        <v>0.75526858299999999</v>
      </c>
      <c r="G44" s="23">
        <v>0.85377151500000004</v>
      </c>
      <c r="H44" s="23">
        <v>0.78613783400000004</v>
      </c>
      <c r="I44" s="23">
        <v>0.79799536699999996</v>
      </c>
      <c r="J44" s="23">
        <v>0.81549157999999999</v>
      </c>
      <c r="K44" s="23">
        <v>0.77518200800000003</v>
      </c>
      <c r="L44" s="23">
        <v>0.95858851499999997</v>
      </c>
      <c r="M44" s="23">
        <v>0.87024153500000001</v>
      </c>
      <c r="N44" s="23">
        <v>0.29548366799999998</v>
      </c>
      <c r="O44" s="15">
        <v>9.568997242</v>
      </c>
      <c r="P44" s="380"/>
    </row>
    <row r="45" spans="1:81" ht="24.75" customHeight="1">
      <c r="A45" s="13" t="s">
        <v>59</v>
      </c>
      <c r="B45" s="14" t="s">
        <v>34</v>
      </c>
      <c r="C45" s="15">
        <v>104.120390499</v>
      </c>
      <c r="D45" s="15">
        <v>139.420535438</v>
      </c>
      <c r="E45" s="15">
        <v>88.955253697000003</v>
      </c>
      <c r="F45" s="15">
        <v>183.69883173599999</v>
      </c>
      <c r="G45" s="15">
        <v>70.744317714000005</v>
      </c>
      <c r="H45" s="15">
        <v>38.760711626000003</v>
      </c>
      <c r="I45" s="15">
        <v>237.696390509</v>
      </c>
      <c r="J45" s="15">
        <v>77.853471530999997</v>
      </c>
      <c r="K45" s="15">
        <v>96.175802434000005</v>
      </c>
      <c r="L45" s="15">
        <v>187.49347460000001</v>
      </c>
      <c r="M45" s="15">
        <v>78.637710513000002</v>
      </c>
      <c r="N45" s="15">
        <v>44.996973132000001</v>
      </c>
      <c r="O45" s="15">
        <v>1348.5538634289999</v>
      </c>
      <c r="P45" s="351"/>
      <c r="Q45" s="9"/>
    </row>
    <row r="46" spans="1:81" s="27" customFormat="1" ht="24.75" customHeight="1">
      <c r="A46" s="25"/>
      <c r="B46" s="22" t="s">
        <v>60</v>
      </c>
      <c r="C46" s="23">
        <v>77.800088058</v>
      </c>
      <c r="D46" s="23">
        <v>49.644994044999997</v>
      </c>
      <c r="E46" s="23">
        <v>39.115086792</v>
      </c>
      <c r="F46" s="23">
        <v>108.868565756</v>
      </c>
      <c r="G46" s="23">
        <v>27.003723453999999</v>
      </c>
      <c r="H46" s="23">
        <v>25.9840315</v>
      </c>
      <c r="I46" s="23">
        <v>151.45148459399999</v>
      </c>
      <c r="J46" s="23">
        <v>31.279943661000001</v>
      </c>
      <c r="K46" s="23">
        <v>33.823038867000001</v>
      </c>
      <c r="L46" s="23">
        <v>77.739746443000001</v>
      </c>
      <c r="M46" s="23">
        <v>25.768565444</v>
      </c>
      <c r="N46" s="23">
        <v>21.182268244999999</v>
      </c>
      <c r="O46" s="15">
        <v>669.66153685900008</v>
      </c>
    </row>
    <row r="47" spans="1:81" s="27" customFormat="1" ht="24.75" customHeight="1">
      <c r="A47" s="25"/>
      <c r="B47" s="22" t="s">
        <v>61</v>
      </c>
      <c r="C47" s="23">
        <v>26.320302440999999</v>
      </c>
      <c r="D47" s="23">
        <v>89.775541392999997</v>
      </c>
      <c r="E47" s="23">
        <v>49.840166904999997</v>
      </c>
      <c r="F47" s="23">
        <v>74.830265979999993</v>
      </c>
      <c r="G47" s="23">
        <v>43.740594260000002</v>
      </c>
      <c r="H47" s="23">
        <v>12.776680126</v>
      </c>
      <c r="I47" s="23">
        <v>86.244905915000004</v>
      </c>
      <c r="J47" s="23">
        <v>46.573527869999999</v>
      </c>
      <c r="K47" s="23">
        <v>62.352763566999997</v>
      </c>
      <c r="L47" s="23">
        <v>109.753728157</v>
      </c>
      <c r="M47" s="23">
        <v>52.869145068999998</v>
      </c>
      <c r="N47" s="23">
        <v>23.814704887000001</v>
      </c>
      <c r="O47" s="15">
        <v>678.89232656999991</v>
      </c>
    </row>
    <row r="48" spans="1:81" s="39" customFormat="1" ht="24.75" customHeight="1">
      <c r="A48" s="13" t="s">
        <v>62</v>
      </c>
      <c r="B48" s="14" t="s">
        <v>63</v>
      </c>
      <c r="C48" s="15">
        <v>1.7425695969999999</v>
      </c>
      <c r="D48" s="15">
        <v>1.6880850359999999</v>
      </c>
      <c r="E48" s="15">
        <v>2.448550418</v>
      </c>
      <c r="F48" s="15">
        <v>2.1621210300000002</v>
      </c>
      <c r="G48" s="15">
        <v>2.8936670640000002</v>
      </c>
      <c r="H48" s="15">
        <v>1.7244355440000001</v>
      </c>
      <c r="I48" s="15">
        <v>1.6731092000000001</v>
      </c>
      <c r="J48" s="15">
        <v>2.4717686080000001</v>
      </c>
      <c r="K48" s="15">
        <v>1.6951253610000001</v>
      </c>
      <c r="L48" s="15">
        <v>2.3065428610000001</v>
      </c>
      <c r="M48" s="15">
        <v>1.420269491</v>
      </c>
      <c r="N48" s="15">
        <v>0.66035256600000003</v>
      </c>
      <c r="O48" s="15">
        <v>22.886596776000001</v>
      </c>
      <c r="P48" s="352"/>
      <c r="Q48" s="352"/>
    </row>
    <row r="49" spans="1:81" ht="24.75" customHeight="1">
      <c r="A49" s="13" t="s">
        <v>64</v>
      </c>
      <c r="B49" s="14" t="s">
        <v>65</v>
      </c>
      <c r="C49" s="15">
        <v>34.739722997000001</v>
      </c>
      <c r="D49" s="15">
        <v>6.946180257</v>
      </c>
      <c r="E49" s="15">
        <v>28.146636929</v>
      </c>
      <c r="F49" s="15">
        <v>18.967322590999999</v>
      </c>
      <c r="G49" s="15">
        <v>1.239739586</v>
      </c>
      <c r="H49" s="15">
        <v>8.9307867499999993</v>
      </c>
      <c r="I49" s="15">
        <v>24.870276732000001</v>
      </c>
      <c r="J49" s="15">
        <v>7.1006419010000004</v>
      </c>
      <c r="K49" s="15">
        <v>13.183095366</v>
      </c>
      <c r="L49" s="15">
        <v>23.401206496</v>
      </c>
      <c r="M49" s="15">
        <v>5.6129796479999996</v>
      </c>
      <c r="N49" s="15">
        <v>11.302952824</v>
      </c>
      <c r="O49" s="15">
        <v>184.44154207699998</v>
      </c>
      <c r="P49" s="353"/>
      <c r="Q49" s="9"/>
    </row>
    <row r="50" spans="1:81" ht="24.75" customHeight="1">
      <c r="A50" s="13"/>
      <c r="B50" s="14" t="s">
        <v>66</v>
      </c>
      <c r="C50" s="15">
        <v>34.739722997000001</v>
      </c>
      <c r="D50" s="15">
        <v>6.946180257</v>
      </c>
      <c r="E50" s="15">
        <v>28.146636929</v>
      </c>
      <c r="F50" s="15">
        <v>18.967322590999999</v>
      </c>
      <c r="G50" s="15">
        <v>1.239739586</v>
      </c>
      <c r="H50" s="15">
        <v>8.9307867499999993</v>
      </c>
      <c r="I50" s="15">
        <v>24.870276732000001</v>
      </c>
      <c r="J50" s="15">
        <v>7.1006419010000004</v>
      </c>
      <c r="K50" s="15">
        <v>13.183095366</v>
      </c>
      <c r="L50" s="15">
        <v>23.401206496</v>
      </c>
      <c r="M50" s="15">
        <v>5.6129796479999996</v>
      </c>
      <c r="N50" s="15">
        <v>11.302952824</v>
      </c>
      <c r="O50" s="15">
        <v>184.44154207699998</v>
      </c>
    </row>
    <row r="51" spans="1:81" s="27" customFormat="1" ht="24.75" customHeight="1">
      <c r="A51" s="25"/>
      <c r="B51" s="22" t="s">
        <v>67</v>
      </c>
      <c r="C51" s="23">
        <v>28.661716731999999</v>
      </c>
      <c r="D51" s="23">
        <v>0.51594600000000002</v>
      </c>
      <c r="E51" s="23">
        <v>15.729577365999999</v>
      </c>
      <c r="F51" s="23">
        <v>2.09341</v>
      </c>
      <c r="G51" s="23">
        <v>0.53352049999999995</v>
      </c>
      <c r="H51" s="23">
        <v>0.33371200000000001</v>
      </c>
      <c r="I51" s="23">
        <v>10.480418</v>
      </c>
      <c r="J51" s="23">
        <v>0.19668649999999999</v>
      </c>
      <c r="K51" s="23">
        <v>6.741079</v>
      </c>
      <c r="L51" s="23">
        <v>9.2731679889999992</v>
      </c>
      <c r="M51" s="23">
        <v>3.1559270000000001</v>
      </c>
      <c r="N51" s="23">
        <v>5.3481713659999999</v>
      </c>
      <c r="O51" s="23">
        <v>83.063332453000001</v>
      </c>
    </row>
    <row r="52" spans="1:81" s="27" customFormat="1" ht="24.75" customHeight="1">
      <c r="A52" s="25"/>
      <c r="B52" s="22" t="s">
        <v>68</v>
      </c>
      <c r="C52" s="23">
        <v>6.0030062649999998</v>
      </c>
      <c r="D52" s="23">
        <v>0</v>
      </c>
      <c r="E52" s="23">
        <v>11.163886783000001</v>
      </c>
      <c r="F52" s="23">
        <v>15.096259888000001</v>
      </c>
      <c r="G52" s="23">
        <v>0</v>
      </c>
      <c r="H52" s="23">
        <v>5.0555218770000003</v>
      </c>
      <c r="I52" s="23">
        <v>11.786075531</v>
      </c>
      <c r="J52" s="23">
        <v>5.4334676919999998</v>
      </c>
      <c r="K52" s="23">
        <v>4.5943154460000004</v>
      </c>
      <c r="L52" s="23">
        <v>10.195656585</v>
      </c>
      <c r="M52" s="23">
        <v>0</v>
      </c>
      <c r="N52" s="23">
        <v>2.6799665030000002</v>
      </c>
      <c r="O52" s="23">
        <v>72.008156570000011</v>
      </c>
    </row>
    <row r="53" spans="1:81" s="27" customFormat="1" ht="24.75" customHeight="1">
      <c r="A53" s="25"/>
      <c r="B53" s="22" t="s">
        <v>69</v>
      </c>
      <c r="C53" s="23">
        <v>0</v>
      </c>
      <c r="D53" s="23">
        <v>0</v>
      </c>
      <c r="E53" s="23">
        <v>0.48499999999999999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0.63500000000000001</v>
      </c>
      <c r="L53" s="23">
        <v>1.0991719870000001</v>
      </c>
      <c r="M53" s="23">
        <v>1.499839E-2</v>
      </c>
      <c r="N53" s="23">
        <v>0</v>
      </c>
      <c r="O53" s="23">
        <v>2.2341703770000003</v>
      </c>
    </row>
    <row r="54" spans="1:81" ht="24.75" customHeight="1">
      <c r="A54" s="13"/>
      <c r="B54" s="14" t="s">
        <v>70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U54" s="9"/>
    </row>
    <row r="55" spans="1:81" s="27" customFormat="1" ht="24.75" customHeight="1">
      <c r="A55" s="25"/>
      <c r="B55" s="22" t="s">
        <v>71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81" s="27" customFormat="1" ht="24.75" customHeight="1">
      <c r="A56" s="25"/>
      <c r="B56" s="22" t="s">
        <v>72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81" s="12" customFormat="1" ht="24.75" customHeight="1">
      <c r="A57" s="17" t="s">
        <v>73</v>
      </c>
      <c r="B57" s="40" t="s">
        <v>74</v>
      </c>
      <c r="C57" s="11">
        <v>-148.45241336000316</v>
      </c>
      <c r="D57" s="11">
        <v>-95.701751013483459</v>
      </c>
      <c r="E57" s="11">
        <v>-71.130701333688592</v>
      </c>
      <c r="F57" s="11">
        <v>-78.672855158333192</v>
      </c>
      <c r="G57" s="11">
        <v>56.773011003849916</v>
      </c>
      <c r="H57" s="11">
        <v>104.18448354248326</v>
      </c>
      <c r="I57" s="11">
        <v>-211.50809652497165</v>
      </c>
      <c r="J57" s="11">
        <v>10.177995282534368</v>
      </c>
      <c r="K57" s="11">
        <v>-16.460696464950047</v>
      </c>
      <c r="L57" s="11">
        <v>-134.04575186988882</v>
      </c>
      <c r="M57" s="11">
        <v>1.9050095145610442</v>
      </c>
      <c r="N57" s="11">
        <v>346.12490173810988</v>
      </c>
      <c r="O57" s="11">
        <v>-237.7468646437801</v>
      </c>
      <c r="P57"/>
      <c r="Q57" s="9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s="12" customFormat="1" ht="24.75" customHeight="1">
      <c r="A58" s="17" t="s">
        <v>75</v>
      </c>
      <c r="B58" s="40" t="s">
        <v>76</v>
      </c>
      <c r="C58" s="11">
        <v>-148.45241336000316</v>
      </c>
      <c r="D58" s="11">
        <v>-95.701751013483459</v>
      </c>
      <c r="E58" s="11">
        <v>-71.130701333688592</v>
      </c>
      <c r="F58" s="11">
        <v>-78.672855158333192</v>
      </c>
      <c r="G58" s="11">
        <v>56.773011003849916</v>
      </c>
      <c r="H58" s="11">
        <v>104.18448354248326</v>
      </c>
      <c r="I58" s="11">
        <v>-211.50809652497165</v>
      </c>
      <c r="J58" s="11">
        <v>10.177995282534368</v>
      </c>
      <c r="K58" s="11">
        <v>-16.460696464950047</v>
      </c>
      <c r="L58" s="11">
        <v>-134.04575186988882</v>
      </c>
      <c r="M58" s="11">
        <v>1.9050095145610442</v>
      </c>
      <c r="N58" s="11">
        <v>346.12490173810988</v>
      </c>
      <c r="O58" s="11">
        <v>-237.7468646437801</v>
      </c>
      <c r="P58" s="35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s="36" customFormat="1" ht="35.25" customHeight="1">
      <c r="A59" s="7"/>
      <c r="B59" s="8" t="s">
        <v>77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81" ht="24.75" customHeight="1">
      <c r="A60" s="7" t="s">
        <v>78</v>
      </c>
      <c r="B60" s="10" t="s">
        <v>79</v>
      </c>
      <c r="C60" s="11">
        <v>41.866666666666667</v>
      </c>
      <c r="D60" s="11">
        <v>53.646425969666673</v>
      </c>
      <c r="E60" s="11">
        <v>114.01108178666667</v>
      </c>
      <c r="F60" s="11">
        <v>44.771316270000007</v>
      </c>
      <c r="G60" s="11">
        <v>32.41270253433332</v>
      </c>
      <c r="H60" s="11">
        <v>85.024543706333318</v>
      </c>
      <c r="I60" s="11">
        <v>60.305336651222177</v>
      </c>
      <c r="J60" s="11">
        <v>61.072849650222167</v>
      </c>
      <c r="K60" s="11">
        <v>94.938433321999995</v>
      </c>
      <c r="L60" s="11">
        <v>52.012765588185232</v>
      </c>
      <c r="M60" s="11">
        <v>35.863539487111112</v>
      </c>
      <c r="N60" s="11">
        <v>51.532745578148251</v>
      </c>
      <c r="O60" s="11">
        <v>727.45840721055561</v>
      </c>
      <c r="P60" s="9"/>
      <c r="Q60" s="9"/>
    </row>
    <row r="61" spans="1:81" ht="24.75" customHeight="1">
      <c r="A61" s="13" t="s">
        <v>80</v>
      </c>
      <c r="B61" s="14" t="s">
        <v>81</v>
      </c>
      <c r="C61" s="15">
        <v>41.866666666666667</v>
      </c>
      <c r="D61" s="15">
        <v>53.146425969666666</v>
      </c>
      <c r="E61" s="15">
        <v>114.01108178666667</v>
      </c>
      <c r="F61" s="15">
        <v>43.261339270000001</v>
      </c>
      <c r="G61" s="15">
        <v>32.39774053433333</v>
      </c>
      <c r="H61" s="15">
        <v>84.966369006333323</v>
      </c>
      <c r="I61" s="15">
        <v>60.275366651222171</v>
      </c>
      <c r="J61" s="15">
        <v>59.050229650222171</v>
      </c>
      <c r="K61" s="15">
        <v>94.933348322000001</v>
      </c>
      <c r="L61" s="15">
        <v>51.506890588185229</v>
      </c>
      <c r="M61" s="15">
        <v>35.863539487111112</v>
      </c>
      <c r="N61" s="15">
        <v>51.459986955148253</v>
      </c>
      <c r="O61" s="15">
        <v>722.73898488755549</v>
      </c>
      <c r="Q61" s="9"/>
    </row>
    <row r="62" spans="1:81" s="27" customFormat="1" ht="24.75" customHeight="1">
      <c r="A62" s="25"/>
      <c r="B62" s="22" t="s">
        <v>82</v>
      </c>
      <c r="C62" s="23">
        <v>0</v>
      </c>
      <c r="D62" s="23">
        <v>11.279759302999999</v>
      </c>
      <c r="E62" s="23">
        <v>14.644415119999991</v>
      </c>
      <c r="F62" s="23">
        <v>6.1613392699999991</v>
      </c>
      <c r="G62" s="23">
        <v>5.6644072009999995</v>
      </c>
      <c r="H62" s="23">
        <v>3.5396674609999934</v>
      </c>
      <c r="I62" s="23">
        <v>7.1153608380000009</v>
      </c>
      <c r="J62" s="23">
        <v>5.8902238370000006</v>
      </c>
      <c r="K62" s="23">
        <v>9.0133483219999988</v>
      </c>
      <c r="L62" s="23">
        <v>12.460220046000003</v>
      </c>
      <c r="M62" s="23">
        <v>9.1568689449999994</v>
      </c>
      <c r="N62" s="23">
        <v>7.9855302299999948</v>
      </c>
      <c r="O62" s="23">
        <v>92.911140572999969</v>
      </c>
      <c r="P62" s="355"/>
      <c r="Q62" s="338"/>
    </row>
    <row r="63" spans="1:81" s="27" customFormat="1" ht="24.75" hidden="1" customHeight="1">
      <c r="A63" s="25"/>
      <c r="B63" s="43" t="s">
        <v>83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>
        <v>0</v>
      </c>
      <c r="R63" s="338"/>
    </row>
    <row r="64" spans="1:81" s="27" customFormat="1" ht="24.75" customHeight="1">
      <c r="A64" s="25"/>
      <c r="B64" s="43" t="s">
        <v>84</v>
      </c>
      <c r="C64" s="23">
        <v>41.866666666666667</v>
      </c>
      <c r="D64" s="23">
        <v>41.866666666666667</v>
      </c>
      <c r="E64" s="23">
        <v>99.366666666666674</v>
      </c>
      <c r="F64" s="23">
        <v>37.1</v>
      </c>
      <c r="G64" s="23">
        <v>26.733333333333331</v>
      </c>
      <c r="H64" s="23">
        <v>81.42670154533333</v>
      </c>
      <c r="I64" s="23">
        <v>53.16000581322217</v>
      </c>
      <c r="J64" s="23">
        <v>53.16000581322217</v>
      </c>
      <c r="K64" s="23">
        <v>85.92</v>
      </c>
      <c r="L64" s="23">
        <v>39.046670542185225</v>
      </c>
      <c r="M64" s="23">
        <v>26.706670542111112</v>
      </c>
      <c r="N64" s="23">
        <v>43.474456725148258</v>
      </c>
      <c r="O64" s="23">
        <v>629.82784431455548</v>
      </c>
      <c r="P64" s="338"/>
      <c r="Q64" s="338"/>
    </row>
    <row r="65" spans="1:81" ht="24.75" customHeight="1">
      <c r="A65" s="13" t="s">
        <v>85</v>
      </c>
      <c r="B65" s="14" t="s">
        <v>86</v>
      </c>
      <c r="C65" s="15">
        <v>0</v>
      </c>
      <c r="D65" s="15">
        <v>0</v>
      </c>
      <c r="E65" s="15">
        <v>0</v>
      </c>
      <c r="F65" s="15">
        <v>9.9769999999999998E-3</v>
      </c>
      <c r="G65" s="15">
        <v>1.4962E-2</v>
      </c>
      <c r="H65" s="15">
        <v>1.99925E-2</v>
      </c>
      <c r="I65" s="15">
        <v>1.822E-2</v>
      </c>
      <c r="J65" s="15">
        <v>1.0226200000000001</v>
      </c>
      <c r="K65" s="15">
        <v>5.0850000000000001E-3</v>
      </c>
      <c r="L65" s="15">
        <v>0.50587499999999996</v>
      </c>
      <c r="M65" s="15">
        <v>0</v>
      </c>
      <c r="N65" s="15">
        <v>7.2758622999999994E-2</v>
      </c>
      <c r="O65" s="15">
        <v>1.6694901230000001</v>
      </c>
      <c r="Q65" s="9"/>
    </row>
    <row r="66" spans="1:81" ht="24.75" customHeight="1">
      <c r="A66" s="13" t="s">
        <v>87</v>
      </c>
      <c r="B66" s="14" t="s">
        <v>88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3.8182199999999999E-2</v>
      </c>
      <c r="I66" s="15">
        <v>1.175E-2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4.9932199999999996E-2</v>
      </c>
      <c r="P66" s="9"/>
      <c r="Q66" s="9"/>
      <c r="R66" s="9"/>
    </row>
    <row r="67" spans="1:81" ht="24.75" customHeight="1">
      <c r="A67" s="13" t="s">
        <v>89</v>
      </c>
      <c r="B67" s="14" t="s">
        <v>90</v>
      </c>
      <c r="C67" s="15">
        <v>0</v>
      </c>
      <c r="D67" s="15">
        <v>0.5</v>
      </c>
      <c r="E67" s="15">
        <v>0</v>
      </c>
      <c r="F67" s="15">
        <v>1.5</v>
      </c>
      <c r="G67" s="15">
        <v>0</v>
      </c>
      <c r="H67" s="15">
        <v>0</v>
      </c>
      <c r="I67" s="15">
        <v>0</v>
      </c>
      <c r="J67" s="15">
        <v>1</v>
      </c>
      <c r="K67" s="15">
        <v>0</v>
      </c>
      <c r="L67" s="15">
        <v>0</v>
      </c>
      <c r="M67" s="15">
        <v>0</v>
      </c>
      <c r="N67" s="15">
        <v>0</v>
      </c>
      <c r="O67" s="15">
        <v>3</v>
      </c>
      <c r="Q67" s="9"/>
      <c r="R67" s="9"/>
    </row>
    <row r="68" spans="1:81" s="46" customFormat="1" ht="24.75" customHeight="1">
      <c r="A68" s="17" t="s">
        <v>91</v>
      </c>
      <c r="B68" s="44" t="s">
        <v>92</v>
      </c>
      <c r="C68" s="45">
        <v>-190.31908002666984</v>
      </c>
      <c r="D68" s="45">
        <v>-149.34817698315013</v>
      </c>
      <c r="E68" s="45">
        <v>-185.14178312035526</v>
      </c>
      <c r="F68" s="45">
        <v>-123.44417142833319</v>
      </c>
      <c r="G68" s="45">
        <v>24.360308469516596</v>
      </c>
      <c r="H68" s="45">
        <v>19.159939836149945</v>
      </c>
      <c r="I68" s="45">
        <v>-271.81343317619383</v>
      </c>
      <c r="J68" s="45">
        <v>-50.894854367687799</v>
      </c>
      <c r="K68" s="45">
        <v>-111.39912978695004</v>
      </c>
      <c r="L68" s="45">
        <v>-186.05851745807405</v>
      </c>
      <c r="M68" s="45">
        <v>-33.958529972550068</v>
      </c>
      <c r="N68" s="45">
        <v>294.59215615996163</v>
      </c>
      <c r="O68" s="45">
        <v>-965.20527185433571</v>
      </c>
      <c r="P68" s="356"/>
      <c r="Q68" s="357"/>
      <c r="R68" s="35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</row>
    <row r="69" spans="1:81" s="36" customFormat="1" ht="36.75" customHeight="1">
      <c r="A69" s="47"/>
      <c r="B69" s="48" t="s">
        <v>93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345"/>
      <c r="Q69" s="345"/>
      <c r="R69" s="345"/>
    </row>
    <row r="70" spans="1:81" ht="24.75" customHeight="1">
      <c r="A70" s="7" t="s">
        <v>94</v>
      </c>
      <c r="B70" s="10" t="s">
        <v>95</v>
      </c>
      <c r="C70" s="11">
        <v>56.825516761000003</v>
      </c>
      <c r="D70" s="11">
        <v>0.95955919074999996</v>
      </c>
      <c r="E70" s="11">
        <v>-125.65374564</v>
      </c>
      <c r="F70" s="11">
        <v>-94.590985446749997</v>
      </c>
      <c r="G70" s="11">
        <v>101.76195948525</v>
      </c>
      <c r="H70" s="11">
        <v>417.54816931050999</v>
      </c>
      <c r="I70" s="11">
        <v>-329.34316923865003</v>
      </c>
      <c r="J70" s="11">
        <v>217.01262873460001</v>
      </c>
      <c r="K70" s="11">
        <v>-5.9735382230000003</v>
      </c>
      <c r="L70" s="11">
        <v>-98.325737107999998</v>
      </c>
      <c r="M70" s="11">
        <v>-16.406750819999999</v>
      </c>
      <c r="N70" s="11">
        <v>308.67933218399997</v>
      </c>
      <c r="O70" s="11">
        <v>432.49323918971004</v>
      </c>
      <c r="P70" s="9"/>
      <c r="Q70" s="359"/>
      <c r="R70" s="9"/>
    </row>
    <row r="71" spans="1:81" ht="24.75" customHeight="1">
      <c r="A71" s="13" t="s">
        <v>96</v>
      </c>
      <c r="B71" s="14" t="s">
        <v>97</v>
      </c>
      <c r="C71" s="15">
        <v>56.825516761000003</v>
      </c>
      <c r="D71" s="15">
        <v>0.95955919074999996</v>
      </c>
      <c r="E71" s="15">
        <v>-125.65374564</v>
      </c>
      <c r="F71" s="15">
        <v>-94.590985446749997</v>
      </c>
      <c r="G71" s="15">
        <v>101.76195948525</v>
      </c>
      <c r="H71" s="15">
        <v>417.54816931050999</v>
      </c>
      <c r="I71" s="15">
        <v>-329.34316923865003</v>
      </c>
      <c r="J71" s="15">
        <v>217.01262873460001</v>
      </c>
      <c r="K71" s="15">
        <v>-5.9735382230000003</v>
      </c>
      <c r="L71" s="15">
        <v>-98.325737107999998</v>
      </c>
      <c r="M71" s="15">
        <v>-16.406750819999999</v>
      </c>
      <c r="N71" s="15">
        <v>308.67933218399997</v>
      </c>
      <c r="O71" s="15">
        <v>432.49323918971004</v>
      </c>
      <c r="P71" s="360"/>
      <c r="Q71" s="361"/>
    </row>
    <row r="72" spans="1:81" s="27" customFormat="1" ht="24.75" customHeight="1">
      <c r="A72" s="25"/>
      <c r="B72" s="22" t="s">
        <v>98</v>
      </c>
      <c r="C72" s="23">
        <v>53.214516760999999</v>
      </c>
      <c r="D72" s="23">
        <v>-0.56944080924999996</v>
      </c>
      <c r="E72" s="23">
        <v>-128.32470058199999</v>
      </c>
      <c r="F72" s="23">
        <v>-87.980542335750002</v>
      </c>
      <c r="G72" s="23">
        <v>91.32556712025</v>
      </c>
      <c r="H72" s="23">
        <v>373.96005370150999</v>
      </c>
      <c r="I72" s="23">
        <v>-329.77489839865001</v>
      </c>
      <c r="J72" s="23">
        <v>202.8368352366</v>
      </c>
      <c r="K72" s="23">
        <v>-14.435817588000001</v>
      </c>
      <c r="L72" s="23">
        <v>-91.461487094999995</v>
      </c>
      <c r="M72" s="23">
        <v>-9.5885100580000007</v>
      </c>
      <c r="N72" s="23">
        <v>298.82212017900002</v>
      </c>
      <c r="O72" s="23">
        <v>358.02369613171004</v>
      </c>
      <c r="P72" s="338"/>
      <c r="Q72" s="338"/>
      <c r="R72" s="338"/>
    </row>
    <row r="73" spans="1:81" s="27" customFormat="1" ht="24.75" customHeight="1">
      <c r="A73" s="25"/>
      <c r="B73" s="22" t="s">
        <v>99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Q73" s="338"/>
      <c r="R73" s="338"/>
    </row>
    <row r="74" spans="1:81" s="27" customFormat="1" ht="24.75" customHeight="1">
      <c r="A74" s="25"/>
      <c r="B74" s="22" t="s">
        <v>100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27.42329415</v>
      </c>
      <c r="I74" s="23">
        <v>0</v>
      </c>
      <c r="J74" s="23">
        <v>0</v>
      </c>
      <c r="K74" s="23">
        <v>13.55670585</v>
      </c>
      <c r="L74" s="23">
        <v>0</v>
      </c>
      <c r="M74" s="23">
        <v>0</v>
      </c>
      <c r="N74" s="23">
        <v>17.824827024000001</v>
      </c>
      <c r="O74" s="23">
        <v>58.804827024000005</v>
      </c>
      <c r="P74" s="338"/>
      <c r="Q74" s="338"/>
    </row>
    <row r="75" spans="1:81" s="27" customFormat="1" ht="24.75" customHeight="1">
      <c r="A75" s="25"/>
      <c r="B75" s="50" t="s">
        <v>101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27.42329415</v>
      </c>
      <c r="I75" s="23">
        <v>0</v>
      </c>
      <c r="J75" s="23">
        <v>0</v>
      </c>
      <c r="K75" s="23">
        <v>13.55670585</v>
      </c>
      <c r="L75" s="23">
        <v>0</v>
      </c>
      <c r="M75" s="23">
        <v>0</v>
      </c>
      <c r="N75" s="23">
        <v>17.824827024000001</v>
      </c>
      <c r="O75" s="23">
        <v>58.804827024000005</v>
      </c>
      <c r="Q75" s="338"/>
    </row>
    <row r="76" spans="1:81" s="27" customFormat="1" ht="24.75" customHeight="1">
      <c r="A76" s="25"/>
      <c r="B76" s="51" t="s">
        <v>102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23">
        <v>0</v>
      </c>
    </row>
    <row r="77" spans="1:81" s="27" customFormat="1" ht="24.75" customHeight="1">
      <c r="A77" s="25"/>
      <c r="B77" s="22" t="s">
        <v>103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</row>
    <row r="78" spans="1:81" s="27" customFormat="1" ht="24.75" customHeight="1">
      <c r="A78" s="25"/>
      <c r="B78" s="52" t="s">
        <v>104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</row>
    <row r="79" spans="1:81" s="27" customFormat="1" ht="24.75" customHeight="1">
      <c r="A79" s="25"/>
      <c r="B79" s="52" t="s">
        <v>105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</row>
    <row r="80" spans="1:81" s="27" customFormat="1" ht="24.75" customHeight="1">
      <c r="A80" s="25"/>
      <c r="B80" s="52" t="s">
        <v>106</v>
      </c>
      <c r="C80" s="23">
        <v>3.6110000000000002</v>
      </c>
      <c r="D80" s="23">
        <v>1.5289999999999999</v>
      </c>
      <c r="E80" s="23">
        <v>2.6709549419999998</v>
      </c>
      <c r="F80" s="23">
        <v>-6.6104431110000004</v>
      </c>
      <c r="G80" s="23">
        <v>10.436392365</v>
      </c>
      <c r="H80" s="23">
        <v>16.164821458999999</v>
      </c>
      <c r="I80" s="23">
        <v>0.43172916</v>
      </c>
      <c r="J80" s="23">
        <v>14.175793498000001</v>
      </c>
      <c r="K80" s="23">
        <v>-5.0944264849999996</v>
      </c>
      <c r="L80" s="23">
        <v>-6.8642500130000004</v>
      </c>
      <c r="M80" s="23">
        <v>-6.8182407620000003</v>
      </c>
      <c r="N80" s="23">
        <v>-7.9676150190000001</v>
      </c>
      <c r="O80" s="23">
        <v>15.664716034000001</v>
      </c>
    </row>
    <row r="81" spans="1:16" ht="24.75" customHeight="1">
      <c r="A81" s="13" t="s">
        <v>107</v>
      </c>
      <c r="B81" s="14" t="s">
        <v>108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</row>
    <row r="82" spans="1:16" ht="24.75" customHeight="1">
      <c r="A82" s="13" t="s">
        <v>109</v>
      </c>
      <c r="B82" s="14" t="s">
        <v>110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</row>
    <row r="83" spans="1:16" ht="24.75" customHeight="1">
      <c r="A83" s="7" t="s">
        <v>111</v>
      </c>
      <c r="B83" s="10" t="s">
        <v>112</v>
      </c>
      <c r="C83" s="11">
        <v>245.69368511211599</v>
      </c>
      <c r="D83" s="11">
        <v>148.860122354</v>
      </c>
      <c r="E83" s="11">
        <v>59.694056026323032</v>
      </c>
      <c r="F83" s="11">
        <v>26.953829972333324</v>
      </c>
      <c r="G83" s="11">
        <v>79.421847955333334</v>
      </c>
      <c r="H83" s="11">
        <v>399.37971194500994</v>
      </c>
      <c r="I83" s="11">
        <v>-55.576921935050066</v>
      </c>
      <c r="J83" s="11">
        <v>269.29647177505547</v>
      </c>
      <c r="K83" s="11">
        <v>105.20356293899999</v>
      </c>
      <c r="L83" s="11">
        <v>88.090348537074107</v>
      </c>
      <c r="M83" s="11">
        <v>15.484153925000008</v>
      </c>
      <c r="N83" s="11">
        <v>12.919848255148253</v>
      </c>
      <c r="O83" s="11">
        <v>1395.4207168613434</v>
      </c>
    </row>
    <row r="84" spans="1:16" ht="24.75" customHeight="1">
      <c r="A84" s="13" t="s">
        <v>113</v>
      </c>
      <c r="B84" s="14" t="s">
        <v>97</v>
      </c>
      <c r="C84" s="15">
        <v>197.712506627175</v>
      </c>
      <c r="D84" s="15">
        <v>65.135321353999998</v>
      </c>
      <c r="E84" s="15">
        <v>-58.673384503000001</v>
      </c>
      <c r="F84" s="15">
        <v>41.180896638999997</v>
      </c>
      <c r="G84" s="15">
        <v>69.6518633811</v>
      </c>
      <c r="H84" s="15">
        <v>-73.999421878000007</v>
      </c>
      <c r="I84" s="15">
        <v>-65.960854619825</v>
      </c>
      <c r="J84" s="15">
        <v>229.59023377499997</v>
      </c>
      <c r="K84" s="15">
        <v>0.54233103636000024</v>
      </c>
      <c r="L84" s="15">
        <v>67.941148536999989</v>
      </c>
      <c r="M84" s="15">
        <v>-43.740465708899997</v>
      </c>
      <c r="N84" s="15">
        <v>-64.970182033</v>
      </c>
      <c r="O84" s="15">
        <v>364.40999260690995</v>
      </c>
      <c r="P84" s="9"/>
    </row>
    <row r="85" spans="1:16" s="366" customFormat="1" ht="24.75" customHeight="1">
      <c r="A85" s="362"/>
      <c r="B85" s="363" t="s">
        <v>114</v>
      </c>
      <c r="C85" s="364">
        <v>31.898608800174998</v>
      </c>
      <c r="D85" s="364">
        <v>28.008769999999998</v>
      </c>
      <c r="E85" s="364">
        <v>-3.2450125000000001</v>
      </c>
      <c r="F85" s="364">
        <v>45.283009999999997</v>
      </c>
      <c r="G85" s="364">
        <v>-5.4082572408999994</v>
      </c>
      <c r="H85" s="364">
        <v>0</v>
      </c>
      <c r="I85" s="364">
        <v>-7.435466199825</v>
      </c>
      <c r="J85" s="364">
        <v>-4.7482499999999996</v>
      </c>
      <c r="K85" s="364">
        <v>15.13613794736</v>
      </c>
      <c r="L85" s="364">
        <v>-10.809200000000001</v>
      </c>
      <c r="M85" s="364">
        <v>14.591742759099999</v>
      </c>
      <c r="N85" s="364">
        <v>36.88796</v>
      </c>
      <c r="O85" s="364">
        <v>140.16004356590997</v>
      </c>
      <c r="P85" s="365"/>
    </row>
    <row r="86" spans="1:16" s="30" customFormat="1" ht="24.75" customHeight="1">
      <c r="A86" s="53"/>
      <c r="B86" s="22" t="s">
        <v>115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</row>
    <row r="87" spans="1:16" s="30" customFormat="1" ht="24.75" customHeight="1">
      <c r="A87" s="53"/>
      <c r="B87" s="22" t="s">
        <v>116</v>
      </c>
      <c r="C87" s="23">
        <v>0</v>
      </c>
      <c r="D87" s="23">
        <v>0</v>
      </c>
      <c r="E87" s="23">
        <v>0</v>
      </c>
      <c r="F87" s="23">
        <v>39.25</v>
      </c>
      <c r="G87" s="23">
        <v>0</v>
      </c>
      <c r="H87" s="23">
        <v>0</v>
      </c>
      <c r="I87" s="23">
        <v>0</v>
      </c>
      <c r="J87" s="23">
        <v>-4.7482499999999996</v>
      </c>
      <c r="K87" s="23">
        <v>0</v>
      </c>
      <c r="L87" s="23">
        <v>-10.809200000000001</v>
      </c>
      <c r="M87" s="23">
        <v>0</v>
      </c>
      <c r="N87" s="23">
        <v>0</v>
      </c>
      <c r="O87" s="23">
        <v>23.692550000000001</v>
      </c>
    </row>
    <row r="88" spans="1:16" s="30" customFormat="1" ht="24.75" customHeight="1">
      <c r="A88" s="53"/>
      <c r="B88" s="22" t="s">
        <v>117</v>
      </c>
      <c r="C88" s="23">
        <v>-2.4454661998249998</v>
      </c>
      <c r="D88" s="23">
        <v>0</v>
      </c>
      <c r="E88" s="23">
        <v>0</v>
      </c>
      <c r="F88" s="23">
        <v>0</v>
      </c>
      <c r="G88" s="23">
        <v>-5.4082572408999994</v>
      </c>
      <c r="H88" s="23">
        <v>0</v>
      </c>
      <c r="I88" s="23">
        <v>-2.4454661998249998</v>
      </c>
      <c r="J88" s="23">
        <v>0</v>
      </c>
      <c r="K88" s="23">
        <v>0</v>
      </c>
      <c r="L88" s="23">
        <v>0</v>
      </c>
      <c r="M88" s="23">
        <v>-5.4082572409000003</v>
      </c>
      <c r="N88" s="23">
        <v>0</v>
      </c>
      <c r="O88" s="56">
        <v>-15.70744688145</v>
      </c>
    </row>
    <row r="89" spans="1:16" s="30" customFormat="1" ht="24.75" customHeight="1">
      <c r="A89" s="53"/>
      <c r="B89" s="22" t="s">
        <v>118</v>
      </c>
      <c r="C89" s="23">
        <v>41.853200000000001</v>
      </c>
      <c r="D89" s="23">
        <v>28.008769999999998</v>
      </c>
      <c r="E89" s="23">
        <v>-3.2450125000000001</v>
      </c>
      <c r="F89" s="23">
        <v>6.03301</v>
      </c>
      <c r="G89" s="23">
        <v>0</v>
      </c>
      <c r="H89" s="23">
        <v>0</v>
      </c>
      <c r="I89" s="23">
        <v>0</v>
      </c>
      <c r="J89" s="23">
        <v>0</v>
      </c>
      <c r="K89" s="23">
        <v>15.13613794736</v>
      </c>
      <c r="L89" s="23">
        <v>0</v>
      </c>
      <c r="M89" s="23">
        <v>20</v>
      </c>
      <c r="N89" s="23">
        <v>36.88796</v>
      </c>
      <c r="O89" s="23">
        <v>144.67406544735999</v>
      </c>
    </row>
    <row r="90" spans="1:16" s="30" customFormat="1" ht="24.75" customHeight="1">
      <c r="A90" s="53"/>
      <c r="B90" s="22" t="s">
        <v>119</v>
      </c>
      <c r="C90" s="23">
        <v>-7.509125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-4.99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-12.499124999999999</v>
      </c>
    </row>
    <row r="91" spans="1:16" s="30" customFormat="1" ht="24.75" customHeight="1">
      <c r="A91" s="53"/>
      <c r="B91" s="54" t="s">
        <v>120</v>
      </c>
      <c r="C91" s="55">
        <v>0</v>
      </c>
      <c r="D91" s="55">
        <v>-13.305961612000001</v>
      </c>
      <c r="E91" s="55">
        <v>0</v>
      </c>
      <c r="F91" s="55">
        <v>0</v>
      </c>
      <c r="G91" s="55">
        <v>0</v>
      </c>
      <c r="H91" s="55">
        <v>-4.4941412080000003</v>
      </c>
      <c r="I91" s="55">
        <v>0</v>
      </c>
      <c r="J91" s="55">
        <v>246.27699999999999</v>
      </c>
      <c r="K91" s="55">
        <v>0</v>
      </c>
      <c r="L91" s="55">
        <v>0</v>
      </c>
      <c r="M91" s="55">
        <v>0</v>
      </c>
      <c r="N91" s="55">
        <v>-5.449331087</v>
      </c>
      <c r="O91" s="55">
        <v>223.02756609299999</v>
      </c>
    </row>
    <row r="92" spans="1:16" s="30" customFormat="1" ht="24.75" customHeight="1">
      <c r="A92" s="53"/>
      <c r="B92" s="22" t="s">
        <v>121</v>
      </c>
      <c r="C92" s="23">
        <v>0</v>
      </c>
      <c r="D92" s="23">
        <v>-13.305961612000001</v>
      </c>
      <c r="E92" s="23">
        <v>0</v>
      </c>
      <c r="F92" s="23">
        <v>0</v>
      </c>
      <c r="G92" s="23">
        <v>0</v>
      </c>
      <c r="H92" s="23">
        <v>-4.4941412080000003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-5.449331087</v>
      </c>
      <c r="O92" s="23">
        <v>-23.249433907</v>
      </c>
    </row>
    <row r="93" spans="1:16" s="30" customFormat="1" ht="24.75" customHeight="1">
      <c r="A93" s="53"/>
      <c r="B93" s="22" t="s">
        <v>122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/>
      <c r="K93" s="23">
        <v>0</v>
      </c>
      <c r="L93" s="23">
        <v>0</v>
      </c>
      <c r="M93" s="23">
        <v>0</v>
      </c>
      <c r="N93" s="23">
        <v>0</v>
      </c>
      <c r="O93" s="23">
        <v>0</v>
      </c>
    </row>
    <row r="94" spans="1:16" s="30" customFormat="1" ht="24.75" customHeight="1">
      <c r="A94" s="53"/>
      <c r="B94" s="22" t="s">
        <v>123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</row>
    <row r="95" spans="1:16" s="30" customFormat="1" ht="24.75" customHeight="1">
      <c r="A95" s="53"/>
      <c r="B95" s="22" t="s">
        <v>124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246.27699999999999</v>
      </c>
      <c r="K95" s="23">
        <v>0</v>
      </c>
      <c r="L95" s="23">
        <v>0</v>
      </c>
      <c r="M95" s="23">
        <v>0</v>
      </c>
      <c r="N95" s="23">
        <v>0</v>
      </c>
      <c r="O95" s="23">
        <v>246.27699999999999</v>
      </c>
    </row>
    <row r="96" spans="1:16" s="30" customFormat="1" ht="24.75" customHeight="1">
      <c r="A96" s="53"/>
      <c r="B96" s="22" t="s">
        <v>125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</row>
    <row r="97" spans="1:17" s="58" customFormat="1" ht="24.75" customHeight="1">
      <c r="A97" s="57"/>
      <c r="B97" s="22" t="s">
        <v>126</v>
      </c>
      <c r="C97" s="23">
        <v>165.81389782700001</v>
      </c>
      <c r="D97" s="23">
        <v>50.432512965999997</v>
      </c>
      <c r="E97" s="23">
        <v>-55.428372003</v>
      </c>
      <c r="F97" s="23">
        <v>-4.1021133609999998</v>
      </c>
      <c r="G97" s="23">
        <v>75.060120621999999</v>
      </c>
      <c r="H97" s="23">
        <v>-69.505280670000005</v>
      </c>
      <c r="I97" s="23">
        <v>-58.525388419999999</v>
      </c>
      <c r="J97" s="23">
        <v>-11.938516225000001</v>
      </c>
      <c r="K97" s="23">
        <v>-14.593806911</v>
      </c>
      <c r="L97" s="23">
        <v>78.750348536999994</v>
      </c>
      <c r="M97" s="23">
        <v>-58.332208467999997</v>
      </c>
      <c r="N97" s="23">
        <v>-96.408810946000003</v>
      </c>
      <c r="O97" s="23">
        <v>1.222382947999975</v>
      </c>
    </row>
    <row r="98" spans="1:17" s="30" customFormat="1" ht="24.75" customHeight="1">
      <c r="A98" s="53"/>
      <c r="B98" s="50" t="s">
        <v>127</v>
      </c>
      <c r="C98" s="23">
        <v>77.896948523999995</v>
      </c>
      <c r="D98" s="23">
        <v>-20.669181079000001</v>
      </c>
      <c r="E98" s="23">
        <v>-47.498570743000002</v>
      </c>
      <c r="F98" s="23">
        <v>15.433370167</v>
      </c>
      <c r="G98" s="23">
        <v>-11.068309347</v>
      </c>
      <c r="H98" s="23">
        <v>-6.6903709249999999</v>
      </c>
      <c r="I98" s="23">
        <v>13.599387229</v>
      </c>
      <c r="J98" s="23">
        <v>-6.5088863330000004</v>
      </c>
      <c r="K98" s="23">
        <v>-2.6792602579999998</v>
      </c>
      <c r="L98" s="23">
        <v>0.89449600399999996</v>
      </c>
      <c r="M98" s="23">
        <v>7.1003767609999997</v>
      </c>
      <c r="N98" s="23">
        <v>-18.801313059000002</v>
      </c>
      <c r="O98" s="23">
        <v>1.008686940999997</v>
      </c>
    </row>
    <row r="99" spans="1:17" s="59" customFormat="1" ht="24.75" customHeight="1">
      <c r="A99" s="17"/>
      <c r="B99" s="50" t="s">
        <v>128</v>
      </c>
      <c r="C99" s="367">
        <v>89.883595101000012</v>
      </c>
      <c r="D99" s="367">
        <v>74.51527298900001</v>
      </c>
      <c r="E99" s="367">
        <v>-13.984183931</v>
      </c>
      <c r="F99" s="367">
        <v>-68.940023701000001</v>
      </c>
      <c r="G99" s="367">
        <v>102.99348164499999</v>
      </c>
      <c r="H99" s="367">
        <v>-45.676780442999998</v>
      </c>
      <c r="I99" s="367">
        <v>-56.893367541999986</v>
      </c>
      <c r="J99" s="367">
        <v>-20.819922105</v>
      </c>
      <c r="K99" s="367">
        <v>-10.449481887999999</v>
      </c>
      <c r="L99" s="367">
        <v>74.999120886</v>
      </c>
      <c r="M99" s="367">
        <v>-68.153081950000001</v>
      </c>
      <c r="N99" s="367">
        <v>-51.122216440000003</v>
      </c>
      <c r="O99" s="19">
        <v>6.3524126209999991</v>
      </c>
      <c r="P99" s="368"/>
      <c r="Q99" s="368"/>
    </row>
    <row r="100" spans="1:17" s="20" customFormat="1" ht="24.75" customHeight="1">
      <c r="A100" s="17"/>
      <c r="B100" s="50" t="s">
        <v>129</v>
      </c>
      <c r="C100" s="369">
        <v>0.66540253199999999</v>
      </c>
      <c r="D100" s="369">
        <v>0.65820504599999996</v>
      </c>
      <c r="E100" s="369">
        <v>0.66254505100000005</v>
      </c>
      <c r="F100" s="19">
        <v>0.65742821399999996</v>
      </c>
      <c r="G100" s="19">
        <v>0.63688269500000005</v>
      </c>
      <c r="H100" s="19">
        <v>0.67606615299999995</v>
      </c>
      <c r="I100" s="19">
        <v>0.68690466299999997</v>
      </c>
      <c r="J100" s="19">
        <v>0.68165468299999998</v>
      </c>
      <c r="K100" s="19">
        <v>0.67376665099999999</v>
      </c>
      <c r="L100" s="19">
        <v>0.720217985</v>
      </c>
      <c r="M100" s="19">
        <v>0.69542030899999996</v>
      </c>
      <c r="N100" s="19">
        <v>0.69679138399999996</v>
      </c>
      <c r="O100" s="19">
        <v>8.1112853660000006</v>
      </c>
    </row>
    <row r="101" spans="1:17" ht="24.75" customHeight="1">
      <c r="A101" s="13" t="s">
        <v>130</v>
      </c>
      <c r="B101" s="14" t="s">
        <v>108</v>
      </c>
      <c r="C101" s="15">
        <v>47.981178484940983</v>
      </c>
      <c r="D101" s="15">
        <v>83.724800999999999</v>
      </c>
      <c r="E101" s="15">
        <v>118.36744052932303</v>
      </c>
      <c r="F101" s="15">
        <v>-14.227066666666673</v>
      </c>
      <c r="G101" s="15">
        <v>9.769984574233332</v>
      </c>
      <c r="H101" s="15">
        <v>473.37913382300997</v>
      </c>
      <c r="I101" s="15">
        <v>10.383932684774937</v>
      </c>
      <c r="J101" s="15">
        <v>39.7062380000555</v>
      </c>
      <c r="K101" s="15">
        <v>104.66123190264</v>
      </c>
      <c r="L101" s="15">
        <v>20.149200000074117</v>
      </c>
      <c r="M101" s="15">
        <v>59.224619633900005</v>
      </c>
      <c r="N101" s="15">
        <v>77.890030288148253</v>
      </c>
      <c r="O101" s="15">
        <v>1031.0107242544334</v>
      </c>
    </row>
    <row r="102" spans="1:17" s="30" customFormat="1" ht="24.75" customHeight="1">
      <c r="A102" s="53"/>
      <c r="B102" s="60" t="s">
        <v>131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</row>
    <row r="103" spans="1:17" s="30" customFormat="1" ht="24.75" customHeight="1">
      <c r="A103" s="53"/>
      <c r="B103" s="60" t="s">
        <v>132</v>
      </c>
      <c r="C103" s="23">
        <v>31.217817449825002</v>
      </c>
      <c r="D103" s="23">
        <v>54.491230000000002</v>
      </c>
      <c r="E103" s="23">
        <v>44.2000125</v>
      </c>
      <c r="F103" s="23">
        <v>64.716989999999996</v>
      </c>
      <c r="G103" s="23">
        <v>-12.0581087591</v>
      </c>
      <c r="H103" s="23">
        <v>287.17632054000995</v>
      </c>
      <c r="I103" s="23">
        <v>-9.2481075501749999</v>
      </c>
      <c r="J103" s="23">
        <v>4.7482499999999996</v>
      </c>
      <c r="K103" s="23">
        <v>33.41138805264</v>
      </c>
      <c r="L103" s="23">
        <v>5.8091999999999997</v>
      </c>
      <c r="M103" s="23">
        <v>22.941891240900002</v>
      </c>
      <c r="N103" s="23">
        <v>38.484999999999999</v>
      </c>
      <c r="O103" s="23">
        <v>565.89188347409993</v>
      </c>
    </row>
    <row r="104" spans="1:17" s="62" customFormat="1" ht="24.75" customHeight="1">
      <c r="A104" s="61"/>
      <c r="B104" s="60" t="s">
        <v>133</v>
      </c>
      <c r="C104" s="23">
        <v>0</v>
      </c>
      <c r="D104" s="23">
        <v>0</v>
      </c>
      <c r="E104" s="23">
        <v>0</v>
      </c>
      <c r="F104" s="23">
        <v>15.75</v>
      </c>
      <c r="G104" s="23">
        <v>0</v>
      </c>
      <c r="H104" s="23">
        <v>0</v>
      </c>
      <c r="I104" s="23">
        <v>0</v>
      </c>
      <c r="J104" s="23">
        <v>4.7482499999999996</v>
      </c>
      <c r="K104" s="23">
        <v>0</v>
      </c>
      <c r="L104" s="23">
        <v>5.8091999999999997</v>
      </c>
      <c r="M104" s="23">
        <v>35</v>
      </c>
      <c r="N104" s="23">
        <v>0</v>
      </c>
      <c r="O104" s="23">
        <v>61.307450000000003</v>
      </c>
    </row>
    <row r="105" spans="1:17" s="62" customFormat="1" ht="24.75" customHeight="1">
      <c r="A105" s="61"/>
      <c r="B105" s="60" t="s">
        <v>134</v>
      </c>
      <c r="C105" s="23">
        <v>37.946800000000003</v>
      </c>
      <c r="D105" s="23">
        <v>54.491230000000002</v>
      </c>
      <c r="E105" s="23">
        <v>44.2000125</v>
      </c>
      <c r="F105" s="23">
        <v>48.966990000000003</v>
      </c>
      <c r="G105" s="23">
        <v>0</v>
      </c>
      <c r="H105" s="23">
        <v>0</v>
      </c>
      <c r="I105" s="23">
        <v>0</v>
      </c>
      <c r="J105" s="23">
        <v>0</v>
      </c>
      <c r="K105" s="23">
        <v>33.41138805264</v>
      </c>
      <c r="L105" s="23">
        <v>0</v>
      </c>
      <c r="M105" s="23">
        <v>0</v>
      </c>
      <c r="N105" s="23">
        <v>38.484999999999999</v>
      </c>
      <c r="O105" s="23">
        <v>257.50142055264001</v>
      </c>
    </row>
    <row r="106" spans="1:17" s="27" customFormat="1" ht="24.75" customHeight="1">
      <c r="A106" s="25"/>
      <c r="B106" s="14" t="s">
        <v>135</v>
      </c>
      <c r="C106" s="23">
        <v>-1.7381075501750003</v>
      </c>
      <c r="D106" s="23">
        <v>0</v>
      </c>
      <c r="E106" s="23">
        <v>0</v>
      </c>
      <c r="F106" s="23">
        <v>0</v>
      </c>
      <c r="G106" s="23">
        <v>-12.0581087591</v>
      </c>
      <c r="H106" s="23">
        <v>0</v>
      </c>
      <c r="I106" s="23">
        <v>-1.7381075501750003</v>
      </c>
      <c r="J106" s="23">
        <v>0</v>
      </c>
      <c r="K106" s="23">
        <v>0</v>
      </c>
      <c r="L106" s="23">
        <v>0</v>
      </c>
      <c r="M106" s="23">
        <v>-12.058108759099998</v>
      </c>
      <c r="N106" s="23">
        <v>0</v>
      </c>
      <c r="O106" s="23">
        <v>-27.592432618549999</v>
      </c>
    </row>
    <row r="107" spans="1:17" s="38" customFormat="1" ht="24.75" customHeight="1">
      <c r="A107" s="25"/>
      <c r="B107" s="14" t="s">
        <v>136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287.17632054000995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287.17632054000995</v>
      </c>
    </row>
    <row r="108" spans="1:17" s="38" customFormat="1" ht="24.75" customHeight="1">
      <c r="A108" s="25"/>
      <c r="B108" s="14" t="s">
        <v>137</v>
      </c>
      <c r="C108" s="23">
        <v>-4.990875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-7.51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-12.500875000000001</v>
      </c>
    </row>
    <row r="109" spans="1:17" s="30" customFormat="1" ht="24.75" customHeight="1">
      <c r="A109" s="53"/>
      <c r="B109" s="14" t="s">
        <v>138</v>
      </c>
      <c r="C109" s="23">
        <v>16.763361035115977</v>
      </c>
      <c r="D109" s="23">
        <v>29.233571000000001</v>
      </c>
      <c r="E109" s="23">
        <v>74.167428029323034</v>
      </c>
      <c r="F109" s="23">
        <v>-78.944056666666668</v>
      </c>
      <c r="G109" s="23">
        <v>21.828093333333332</v>
      </c>
      <c r="H109" s="23">
        <v>186.20281328300001</v>
      </c>
      <c r="I109" s="23">
        <v>19.632040234949937</v>
      </c>
      <c r="J109" s="23">
        <v>34.957988000055501</v>
      </c>
      <c r="K109" s="23">
        <v>71.249843850000005</v>
      </c>
      <c r="L109" s="23">
        <v>14.340000000074117</v>
      </c>
      <c r="M109" s="23">
        <v>36.282728392999999</v>
      </c>
      <c r="N109" s="23">
        <v>39.405030288148254</v>
      </c>
      <c r="O109" s="23">
        <v>465.11884078033347</v>
      </c>
      <c r="P109" s="339"/>
    </row>
    <row r="110" spans="1:17" s="27" customFormat="1" ht="24.75" customHeight="1">
      <c r="A110" s="25"/>
      <c r="B110" s="22" t="s">
        <v>139</v>
      </c>
      <c r="C110" s="23">
        <v>0</v>
      </c>
      <c r="D110" s="23">
        <v>0</v>
      </c>
      <c r="E110" s="23">
        <v>0</v>
      </c>
      <c r="F110" s="23">
        <v>0</v>
      </c>
      <c r="G110" s="23">
        <v>12</v>
      </c>
      <c r="H110" s="23">
        <v>100.49747480000001</v>
      </c>
      <c r="I110" s="23">
        <v>0</v>
      </c>
      <c r="J110" s="23">
        <v>0</v>
      </c>
      <c r="K110" s="23">
        <v>0</v>
      </c>
      <c r="L110" s="23">
        <v>0</v>
      </c>
      <c r="M110" s="23">
        <v>31.409779393000001</v>
      </c>
      <c r="N110" s="23">
        <v>27.060021264</v>
      </c>
      <c r="O110" s="23">
        <v>170.967275457</v>
      </c>
    </row>
    <row r="111" spans="1:17" s="27" customFormat="1" ht="24.75" customHeight="1">
      <c r="A111" s="25"/>
      <c r="B111" s="22" t="s">
        <v>140</v>
      </c>
      <c r="C111" s="23">
        <v>38.4</v>
      </c>
      <c r="D111" s="23">
        <v>38.4</v>
      </c>
      <c r="E111" s="23">
        <v>95.9</v>
      </c>
      <c r="F111" s="23">
        <v>19.233333333333331</v>
      </c>
      <c r="G111" s="23">
        <v>19.233333333333331</v>
      </c>
      <c r="H111" s="23">
        <v>71.533333333000002</v>
      </c>
      <c r="I111" s="23">
        <v>45.550000000055505</v>
      </c>
      <c r="J111" s="23">
        <v>45.550000000055505</v>
      </c>
      <c r="K111" s="23">
        <v>80.599999999999994</v>
      </c>
      <c r="L111" s="23">
        <v>32.200000000074112</v>
      </c>
      <c r="M111" s="23">
        <v>19.86</v>
      </c>
      <c r="N111" s="23">
        <v>9.8600000001482542</v>
      </c>
      <c r="O111" s="35">
        <v>516.31999999999994</v>
      </c>
      <c r="P111" s="370"/>
      <c r="Q111" s="370"/>
    </row>
    <row r="112" spans="1:17" s="27" customFormat="1" ht="24.75" customHeight="1">
      <c r="A112" s="25"/>
      <c r="B112" s="22" t="s">
        <v>141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27.42329415</v>
      </c>
      <c r="I112" s="23">
        <v>0</v>
      </c>
      <c r="J112" s="23">
        <v>0</v>
      </c>
      <c r="K112" s="23">
        <v>13.55670585</v>
      </c>
      <c r="L112" s="23">
        <v>0</v>
      </c>
      <c r="M112" s="23">
        <v>0</v>
      </c>
      <c r="N112" s="23">
        <v>17.824827024000001</v>
      </c>
      <c r="O112" s="23">
        <v>58.804827024000005</v>
      </c>
    </row>
    <row r="113" spans="1:15" s="27" customFormat="1" ht="24.75" customHeight="1">
      <c r="A113" s="25"/>
      <c r="B113" s="22" t="s">
        <v>142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</row>
    <row r="114" spans="1:15" s="27" customFormat="1" ht="24.75" customHeight="1">
      <c r="A114" s="25"/>
      <c r="B114" s="22" t="s">
        <v>143</v>
      </c>
      <c r="C114" s="23">
        <v>-21.636638964884021</v>
      </c>
      <c r="D114" s="23">
        <v>-9.1664290000000008</v>
      </c>
      <c r="E114" s="23">
        <v>-21.732571970676975</v>
      </c>
      <c r="F114" s="23">
        <v>-98.177390000000003</v>
      </c>
      <c r="G114" s="23">
        <v>-9.4052399999999992</v>
      </c>
      <c r="H114" s="23">
        <v>-13.251289</v>
      </c>
      <c r="I114" s="23">
        <v>-25.917959765105568</v>
      </c>
      <c r="J114" s="23">
        <v>-10.592012000000002</v>
      </c>
      <c r="K114" s="23">
        <v>-22.906862</v>
      </c>
      <c r="L114" s="23">
        <v>-17.86</v>
      </c>
      <c r="M114" s="23">
        <v>-14.987050999999999</v>
      </c>
      <c r="N114" s="23">
        <v>-15.339817999999999</v>
      </c>
      <c r="O114" s="23">
        <v>-280.97326170066651</v>
      </c>
    </row>
    <row r="115" spans="1:15" s="38" customFormat="1" ht="24.75" customHeight="1">
      <c r="A115" s="25"/>
      <c r="B115" s="22" t="s">
        <v>144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</row>
    <row r="116" spans="1:15" s="38" customFormat="1" ht="24.75" customHeight="1">
      <c r="A116" s="25"/>
      <c r="B116" s="22" t="s">
        <v>145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</row>
    <row r="117" spans="1:15" s="30" customFormat="1" ht="24.75" customHeight="1">
      <c r="A117" s="53"/>
      <c r="B117" s="60" t="s">
        <v>146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</row>
    <row r="118" spans="1:15" ht="19.5" customHeight="1">
      <c r="A118" s="371" t="s">
        <v>147</v>
      </c>
      <c r="B118" s="371"/>
      <c r="C118" s="11">
        <v>-1.4509116755538685</v>
      </c>
      <c r="D118" s="11">
        <v>-1.4476138199001412</v>
      </c>
      <c r="E118" s="11">
        <v>0.20601854596777258</v>
      </c>
      <c r="F118" s="11">
        <v>-1.8993560092498711</v>
      </c>
      <c r="G118" s="11">
        <v>2.0201969395999271</v>
      </c>
      <c r="H118" s="11">
        <v>0.99148247064988482</v>
      </c>
      <c r="I118" s="11">
        <v>1.9528141274061426</v>
      </c>
      <c r="J118" s="11">
        <v>1.3889886727676526</v>
      </c>
      <c r="K118" s="11">
        <v>-0.22202862495004183</v>
      </c>
      <c r="L118" s="11">
        <v>0.3575681870000551</v>
      </c>
      <c r="M118" s="11">
        <v>-2.0676252275500602</v>
      </c>
      <c r="N118" s="11">
        <v>-1.1673277688900896</v>
      </c>
      <c r="O118" s="11">
        <v>-2.2777941827023369</v>
      </c>
    </row>
    <row r="119" spans="1:15" ht="12" customHeight="1">
      <c r="A119" s="63" t="s">
        <v>148</v>
      </c>
      <c r="B119" s="64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3"/>
    </row>
    <row r="120" spans="1:15">
      <c r="A120" s="63" t="s">
        <v>149</v>
      </c>
      <c r="B120" s="64"/>
      <c r="C120" s="374"/>
      <c r="D120" s="374"/>
      <c r="E120" s="374"/>
      <c r="F120" s="374"/>
      <c r="G120" s="374"/>
      <c r="H120" s="374" t="s">
        <v>681</v>
      </c>
      <c r="I120" s="374"/>
      <c r="J120" s="374"/>
      <c r="K120" s="374"/>
      <c r="L120" s="374"/>
      <c r="M120" s="374"/>
      <c r="N120" s="374"/>
      <c r="O120" s="9"/>
    </row>
    <row r="121" spans="1:15" ht="10.5" customHeight="1">
      <c r="A121" s="65" t="s">
        <v>150</v>
      </c>
      <c r="B121" s="64"/>
      <c r="C121" s="375"/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</row>
    <row r="122" spans="1:15">
      <c r="N122" t="s">
        <v>192</v>
      </c>
    </row>
    <row r="123" spans="1:15">
      <c r="D123" s="376"/>
    </row>
    <row r="124" spans="1:15">
      <c r="D124" s="9"/>
      <c r="E124" s="9"/>
    </row>
    <row r="125" spans="1:15">
      <c r="D125" s="376"/>
    </row>
    <row r="126" spans="1:15">
      <c r="D126" s="9"/>
      <c r="G126" t="s">
        <v>682</v>
      </c>
      <c r="H126" t="s">
        <v>683</v>
      </c>
    </row>
    <row r="127" spans="1:15">
      <c r="D127" s="377"/>
    </row>
    <row r="128" spans="1:15">
      <c r="D128" s="9"/>
    </row>
    <row r="129" spans="4:4">
      <c r="D129" s="9"/>
    </row>
  </sheetData>
  <autoFilter ref="A1:O131" xr:uid="{00000000-0009-0000-0000-000002000000}"/>
  <mergeCells count="2">
    <mergeCell ref="B3:O3"/>
    <mergeCell ref="A4:B4"/>
  </mergeCells>
  <pageMargins left="0.70866141732283472" right="0.70866141732283472" top="0.74803149606299213" bottom="1.3385826771653544" header="0.31496062992125984" footer="0.31496062992125984"/>
  <pageSetup paperSize="9" scale="35" orientation="portrait" r:id="rId1"/>
  <rowBreaks count="1" manualBreakCount="1">
    <brk id="6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V136"/>
  <sheetViews>
    <sheetView view="pageBreakPreview" topLeftCell="A4" zoomScale="90" zoomScaleNormal="90" zoomScaleSheetLayoutView="90" zoomScalePageLayoutView="117" workbookViewId="0">
      <pane xSplit="2" ySplit="3" topLeftCell="C7" activePane="bottomRight" state="frozen"/>
      <selection activeCell="A4" sqref="A4"/>
      <selection pane="topRight" activeCell="C4" sqref="C4"/>
      <selection pane="bottomLeft" activeCell="A6" sqref="A6"/>
      <selection pane="bottomRight" activeCell="J19" sqref="J19"/>
    </sheetView>
  </sheetViews>
  <sheetFormatPr baseColWidth="10" defaultColWidth="9.1640625" defaultRowHeight="13"/>
  <cols>
    <col min="1" max="1" width="6.5" customWidth="1"/>
    <col min="2" max="2" width="36.6640625" customWidth="1"/>
    <col min="3" max="3" width="14.5" hidden="1" customWidth="1"/>
    <col min="4" max="4" width="15.1640625" hidden="1" customWidth="1"/>
    <col min="5" max="5" width="14.5" hidden="1" customWidth="1"/>
    <col min="6" max="6" width="14.5" customWidth="1"/>
    <col min="7" max="9" width="14.5" hidden="1" customWidth="1"/>
    <col min="10" max="10" width="12.6640625" customWidth="1"/>
    <col min="11" max="12" width="14.5" hidden="1" customWidth="1"/>
    <col min="13" max="13" width="16.33203125" hidden="1" customWidth="1"/>
    <col min="14" max="14" width="10.1640625" customWidth="1"/>
    <col min="15" max="18" width="14.5" hidden="1" customWidth="1"/>
    <col min="19" max="19" width="35.1640625" customWidth="1"/>
    <col min="20" max="20" width="42" bestFit="1" customWidth="1"/>
    <col min="21" max="21" width="23.5" bestFit="1" customWidth="1"/>
    <col min="22" max="53" width="11.33203125" customWidth="1"/>
  </cols>
  <sheetData>
    <row r="1" spans="1:100" ht="19.5" customHeight="1">
      <c r="A1" s="1" t="s">
        <v>0</v>
      </c>
      <c r="B1" s="2"/>
      <c r="C1" s="326"/>
      <c r="D1" s="326"/>
      <c r="E1" s="326"/>
      <c r="F1" s="326"/>
      <c r="G1" s="326"/>
      <c r="H1" s="326"/>
      <c r="I1" s="326">
        <f>I7-I30</f>
        <v>319.82250424900002</v>
      </c>
      <c r="J1" s="326"/>
      <c r="K1" s="326"/>
      <c r="L1" s="326"/>
      <c r="M1" s="326"/>
      <c r="N1" s="326"/>
      <c r="O1" s="326"/>
      <c r="P1" s="326"/>
      <c r="Q1" s="326"/>
      <c r="R1" s="3"/>
    </row>
    <row r="2" spans="1:100" ht="19.5" customHeight="1">
      <c r="A2" s="1" t="s">
        <v>1</v>
      </c>
      <c r="B2" s="2"/>
      <c r="C2" s="4"/>
      <c r="D2" s="4"/>
      <c r="E2" s="4"/>
      <c r="F2" s="4"/>
      <c r="G2" s="327"/>
      <c r="H2" s="4"/>
      <c r="I2" s="327"/>
      <c r="J2" s="327"/>
      <c r="K2" s="4"/>
      <c r="L2" s="4"/>
      <c r="M2" s="4"/>
      <c r="N2" s="4"/>
      <c r="O2" s="4"/>
      <c r="P2" s="4"/>
      <c r="Q2" s="4"/>
      <c r="R2" s="4"/>
    </row>
    <row r="3" spans="1:100" ht="30.75" customHeight="1">
      <c r="A3" s="5" t="s">
        <v>2</v>
      </c>
      <c r="B3" s="514" t="s">
        <v>3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8"/>
      <c r="CV3" t="e">
        <f>CU3/CT3-1</f>
        <v>#DIV/0!</v>
      </c>
    </row>
    <row r="4" spans="1:100" ht="30.75" customHeight="1">
      <c r="A4" s="5"/>
      <c r="B4" s="393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2"/>
      <c r="S4" s="292" t="s">
        <v>690</v>
      </c>
      <c r="T4" s="394">
        <v>44713</v>
      </c>
    </row>
    <row r="5" spans="1:100" ht="34">
      <c r="A5" s="509"/>
      <c r="B5" s="510"/>
      <c r="C5" s="328" t="s">
        <v>664</v>
      </c>
      <c r="D5" s="328" t="s">
        <v>665</v>
      </c>
      <c r="E5" s="328" t="s">
        <v>666</v>
      </c>
      <c r="F5" s="328" t="s">
        <v>685</v>
      </c>
      <c r="G5" s="328" t="s">
        <v>667</v>
      </c>
      <c r="H5" s="328" t="s">
        <v>668</v>
      </c>
      <c r="I5" s="328" t="s">
        <v>669</v>
      </c>
      <c r="J5" s="328" t="s">
        <v>687</v>
      </c>
      <c r="K5" s="328" t="s">
        <v>670</v>
      </c>
      <c r="L5" s="328" t="s">
        <v>671</v>
      </c>
      <c r="M5" s="328" t="s">
        <v>672</v>
      </c>
      <c r="N5" s="328" t="s">
        <v>689</v>
      </c>
      <c r="O5" s="328" t="s">
        <v>673</v>
      </c>
      <c r="P5" s="328" t="s">
        <v>674</v>
      </c>
      <c r="Q5" s="328" t="s">
        <v>675</v>
      </c>
      <c r="R5" s="328" t="s">
        <v>676</v>
      </c>
      <c r="T5" s="395">
        <f>+T6+T38</f>
        <v>-1725845318.0005083</v>
      </c>
    </row>
    <row r="6" spans="1:100" ht="33" customHeight="1">
      <c r="A6" s="7"/>
      <c r="B6" s="8" t="s">
        <v>5</v>
      </c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9"/>
      <c r="T6" s="9">
        <v>2357569421.99998</v>
      </c>
    </row>
    <row r="7" spans="1:100" s="12" customFormat="1" ht="24.75" customHeight="1">
      <c r="A7" s="7" t="s">
        <v>6</v>
      </c>
      <c r="B7" s="10" t="s">
        <v>677</v>
      </c>
      <c r="C7" s="11">
        <v>199.88417974299992</v>
      </c>
      <c r="D7" s="11">
        <v>268.62900867307337</v>
      </c>
      <c r="E7" s="11">
        <v>234.21755548937</v>
      </c>
      <c r="F7" s="11">
        <v>702.73074390544321</v>
      </c>
      <c r="G7" s="11">
        <v>280.30466226288002</v>
      </c>
      <c r="H7" s="11">
        <v>318.03250213994443</v>
      </c>
      <c r="I7" s="11">
        <v>343.26694869344448</v>
      </c>
      <c r="J7" s="11">
        <v>1644.3348570017122</v>
      </c>
      <c r="K7" s="11">
        <v>290.1603540383</v>
      </c>
      <c r="L7" s="11">
        <v>269.17750692847</v>
      </c>
      <c r="M7" s="11">
        <v>310.74112262792994</v>
      </c>
      <c r="N7" s="11">
        <v>2514.4138405964122</v>
      </c>
      <c r="O7" s="11">
        <v>280.05252558799998</v>
      </c>
      <c r="P7" s="11">
        <v>0</v>
      </c>
      <c r="Q7" s="11">
        <v>0</v>
      </c>
      <c r="R7" s="11">
        <v>2794.4663661844129</v>
      </c>
      <c r="S7" s="330">
        <f>[14]DGID!P108+[14]TRESOR!O15+[14]DGD!O40+'[14]Tirages ress ext'!N15+'[14]ASSISTEXTER '!O23</f>
        <v>2794466366184.4121</v>
      </c>
      <c r="T7" s="9">
        <f>+S7-204436549</f>
        <v>2794261929635.4121</v>
      </c>
      <c r="U7" s="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100" ht="24.75" customHeight="1">
      <c r="A8" s="13" t="s">
        <v>8</v>
      </c>
      <c r="B8" s="14" t="s">
        <v>9</v>
      </c>
      <c r="C8" s="15">
        <v>184.64041094799992</v>
      </c>
      <c r="D8" s="15">
        <v>252.26753054624004</v>
      </c>
      <c r="E8" s="15">
        <v>222.94225637336999</v>
      </c>
      <c r="F8" s="11">
        <v>659.85019786760995</v>
      </c>
      <c r="G8" s="15">
        <v>247.23695398848002</v>
      </c>
      <c r="H8" s="15">
        <v>285.28465901449999</v>
      </c>
      <c r="I8" s="15">
        <v>314.51666337800003</v>
      </c>
      <c r="J8" s="11">
        <v>1506.88847424859</v>
      </c>
      <c r="K8" s="15">
        <v>259.70201244079999</v>
      </c>
      <c r="L8" s="15">
        <v>237.29345682196998</v>
      </c>
      <c r="M8" s="15">
        <v>259.70723849492992</v>
      </c>
      <c r="N8" s="11">
        <v>2263.5911820062902</v>
      </c>
      <c r="O8" s="15">
        <v>265.79883124499997</v>
      </c>
      <c r="P8" s="15">
        <v>0</v>
      </c>
      <c r="Q8" s="15">
        <v>0</v>
      </c>
      <c r="R8" s="15">
        <v>2529.3900132512908</v>
      </c>
      <c r="S8" s="331">
        <f>+R7*1000000000</f>
        <v>2794466366184.4131</v>
      </c>
      <c r="T8" s="9"/>
    </row>
    <row r="9" spans="1:100" s="20" customFormat="1" ht="24.75" customHeight="1">
      <c r="A9" s="17" t="s">
        <v>10</v>
      </c>
      <c r="B9" s="18" t="s">
        <v>11</v>
      </c>
      <c r="C9" s="19">
        <v>57.498947733999998</v>
      </c>
      <c r="D9" s="19">
        <v>110.35243877254001</v>
      </c>
      <c r="E9" s="19">
        <v>55.419999076369997</v>
      </c>
      <c r="F9" s="11">
        <v>223.27138558291</v>
      </c>
      <c r="G9" s="19">
        <v>92.64804539347999</v>
      </c>
      <c r="H9" s="19">
        <v>76.814965049999998</v>
      </c>
      <c r="I9" s="19">
        <v>144.28500524299</v>
      </c>
      <c r="J9" s="11">
        <v>537.01940126938007</v>
      </c>
      <c r="K9" s="19">
        <v>87.454369909800008</v>
      </c>
      <c r="L9" s="19">
        <v>64.990470131370003</v>
      </c>
      <c r="M9" s="19">
        <v>95.056792143929997</v>
      </c>
      <c r="N9" s="11">
        <v>784.52103345448006</v>
      </c>
      <c r="O9" s="19">
        <v>64.808974035000006</v>
      </c>
      <c r="P9" s="19">
        <v>0</v>
      </c>
      <c r="Q9" s="19">
        <v>0</v>
      </c>
      <c r="R9" s="19">
        <v>849.33000748948007</v>
      </c>
      <c r="S9" s="332">
        <f>+S7-S8</f>
        <v>0</v>
      </c>
    </row>
    <row r="10" spans="1:100" s="24" customFormat="1" ht="24.75" customHeight="1">
      <c r="A10" s="21"/>
      <c r="B10" s="22" t="s">
        <v>12</v>
      </c>
      <c r="C10" s="15">
        <v>18.693942128</v>
      </c>
      <c r="D10" s="15">
        <v>72.619853771540008</v>
      </c>
      <c r="E10" s="15">
        <v>13.187670422369999</v>
      </c>
      <c r="F10" s="11">
        <v>104.50146632191002</v>
      </c>
      <c r="G10" s="15">
        <v>52.804488598479999</v>
      </c>
      <c r="H10" s="15">
        <v>32.496675672000002</v>
      </c>
      <c r="I10" s="15">
        <v>101.985590828</v>
      </c>
      <c r="J10" s="11">
        <v>291.78822142039002</v>
      </c>
      <c r="K10" s="15">
        <v>43.679454960800001</v>
      </c>
      <c r="L10" s="15">
        <v>19.535057128989997</v>
      </c>
      <c r="M10" s="15">
        <v>52.510333221940002</v>
      </c>
      <c r="N10" s="11">
        <v>407.51306673212002</v>
      </c>
      <c r="O10" s="15">
        <v>10.759699492999999</v>
      </c>
      <c r="P10" s="15">
        <v>0</v>
      </c>
      <c r="Q10" s="15">
        <v>0</v>
      </c>
      <c r="R10" s="23">
        <v>418.27276622511999</v>
      </c>
      <c r="S10" s="333">
        <f>+P7-P30</f>
        <v>0</v>
      </c>
    </row>
    <row r="11" spans="1:100" s="24" customFormat="1" ht="24.75" customHeight="1">
      <c r="A11" s="21"/>
      <c r="B11" s="22" t="s">
        <v>13</v>
      </c>
      <c r="C11" s="15">
        <v>38.798724512</v>
      </c>
      <c r="D11" s="15">
        <v>37.727686368999997</v>
      </c>
      <c r="E11" s="15">
        <v>42.232328654</v>
      </c>
      <c r="F11" s="11">
        <v>118.758739535</v>
      </c>
      <c r="G11" s="15">
        <v>37.851684755000001</v>
      </c>
      <c r="H11" s="15">
        <v>43.744017941999999</v>
      </c>
      <c r="I11" s="15">
        <v>41.042291144989996</v>
      </c>
      <c r="J11" s="11">
        <v>241.39673337699</v>
      </c>
      <c r="K11" s="15">
        <v>42.718012707</v>
      </c>
      <c r="L11" s="15">
        <v>44.374945374380005</v>
      </c>
      <c r="M11" s="15">
        <v>41.65790175899</v>
      </c>
      <c r="N11" s="11">
        <v>370.14759321736</v>
      </c>
      <c r="O11" s="15">
        <v>53.316946207000001</v>
      </c>
      <c r="P11" s="15">
        <v>0</v>
      </c>
      <c r="Q11" s="15">
        <v>0</v>
      </c>
      <c r="R11" s="23">
        <v>423.46453942436</v>
      </c>
      <c r="S11" s="324">
        <f>+R7-R28</f>
        <v>2662.8526439621241</v>
      </c>
    </row>
    <row r="12" spans="1:100" ht="24.75" customHeight="1">
      <c r="A12" s="13"/>
      <c r="B12" s="22" t="s">
        <v>14</v>
      </c>
      <c r="C12" s="15">
        <v>3.9446271350000002</v>
      </c>
      <c r="D12" s="15">
        <v>3.9529402739999999</v>
      </c>
      <c r="E12" s="15">
        <v>3.932816667</v>
      </c>
      <c r="F12" s="11">
        <v>11.830384076000001</v>
      </c>
      <c r="G12" s="15">
        <v>3.9858771879999999</v>
      </c>
      <c r="H12" s="15">
        <v>4.0189920380000004</v>
      </c>
      <c r="I12" s="15">
        <v>3.7274004810000001</v>
      </c>
      <c r="J12" s="11">
        <v>23.562653783000002</v>
      </c>
      <c r="K12" s="15">
        <v>4.0128937230000004</v>
      </c>
      <c r="L12" s="15">
        <v>4.021365909</v>
      </c>
      <c r="M12" s="15">
        <v>4.3474069440000003</v>
      </c>
      <c r="N12" s="11">
        <v>35.944320359000002</v>
      </c>
      <c r="O12" s="15">
        <v>4.4680289169999998</v>
      </c>
      <c r="P12" s="15">
        <v>0</v>
      </c>
      <c r="Q12" s="15">
        <v>0</v>
      </c>
      <c r="R12" s="23">
        <v>40.412349276</v>
      </c>
      <c r="S12" s="334">
        <f>+([14]DGID!P1+[14]TRESOR!O15+[14]DGD!O40)/1000000000-S11</f>
        <v>0</v>
      </c>
    </row>
    <row r="13" spans="1:100" s="20" customFormat="1" ht="24.75" customHeight="1">
      <c r="A13" s="17" t="s">
        <v>15</v>
      </c>
      <c r="B13" s="18" t="s">
        <v>16</v>
      </c>
      <c r="C13" s="19">
        <v>3.2536618100000001</v>
      </c>
      <c r="D13" s="19">
        <v>3.2667722087</v>
      </c>
      <c r="E13" s="19">
        <v>3.6044612730000001</v>
      </c>
      <c r="F13" s="11">
        <v>10.1248952917</v>
      </c>
      <c r="G13" s="19">
        <v>2.933773714</v>
      </c>
      <c r="H13" s="19">
        <v>2.9452742070000002</v>
      </c>
      <c r="I13" s="19">
        <v>3.0187323490100004</v>
      </c>
      <c r="J13" s="11">
        <v>19.022675561710003</v>
      </c>
      <c r="K13" s="19">
        <v>2.782774571</v>
      </c>
      <c r="L13" s="19">
        <v>3.2858334285999997</v>
      </c>
      <c r="M13" s="19">
        <v>3.2856564850000001</v>
      </c>
      <c r="N13" s="11">
        <v>28.376940046310004</v>
      </c>
      <c r="O13" s="19">
        <v>2.9524241670000002</v>
      </c>
      <c r="P13" s="19">
        <v>0</v>
      </c>
      <c r="Q13" s="19">
        <v>0</v>
      </c>
      <c r="R13" s="19">
        <v>31.329364213310004</v>
      </c>
      <c r="S13" s="335">
        <v>37026271.049999997</v>
      </c>
      <c r="T13" s="20">
        <v>36279103.850000001</v>
      </c>
      <c r="U13" s="20">
        <v>32725395.949999999</v>
      </c>
    </row>
    <row r="14" spans="1:100" s="20" customFormat="1" ht="24.75" customHeight="1">
      <c r="A14" s="17"/>
      <c r="B14" s="336" t="s">
        <v>678</v>
      </c>
      <c r="C14" s="23">
        <v>0.47155297750000003</v>
      </c>
      <c r="D14" s="23">
        <v>0.43693320219999998</v>
      </c>
      <c r="E14" s="23">
        <v>0.42891744850000002</v>
      </c>
      <c r="F14" s="11">
        <v>1.3374036282000001</v>
      </c>
      <c r="G14" s="23">
        <v>0.45283053750000002</v>
      </c>
      <c r="H14" s="23">
        <v>0.4535485595</v>
      </c>
      <c r="I14" s="23">
        <v>0.50308123800000004</v>
      </c>
      <c r="J14" s="11">
        <v>2.7468639632000005</v>
      </c>
      <c r="K14" s="23">
        <v>0.47044804699999998</v>
      </c>
      <c r="L14" s="23">
        <v>0.66777840399999999</v>
      </c>
      <c r="M14" s="23">
        <v>0.58741734499999998</v>
      </c>
      <c r="N14" s="11">
        <v>4.4725077592000009</v>
      </c>
      <c r="O14" s="23">
        <v>0.60350271099999997</v>
      </c>
      <c r="P14" s="23"/>
      <c r="Q14" s="23"/>
      <c r="R14" s="19">
        <v>5.0760104702000008</v>
      </c>
      <c r="S14" s="335">
        <v>253270820.19999999</v>
      </c>
      <c r="T14" s="20">
        <v>221544440.59999999</v>
      </c>
      <c r="U14" s="20">
        <v>235982584.80000001</v>
      </c>
    </row>
    <row r="15" spans="1:100" s="20" customFormat="1" ht="24.75" customHeight="1">
      <c r="A15" s="17" t="s">
        <v>17</v>
      </c>
      <c r="B15" s="18" t="s">
        <v>18</v>
      </c>
      <c r="C15" s="19">
        <v>2.101878277</v>
      </c>
      <c r="D15" s="19">
        <v>3.0426760499999999</v>
      </c>
      <c r="E15" s="19">
        <v>16.625811887000001</v>
      </c>
      <c r="F15" s="11">
        <v>21.770366213999999</v>
      </c>
      <c r="G15" s="19">
        <v>2.9740995090000002</v>
      </c>
      <c r="H15" s="19">
        <v>3.4072265879999999</v>
      </c>
      <c r="I15" s="19">
        <v>3.8091054959999999</v>
      </c>
      <c r="J15" s="11">
        <v>31.960797806999999</v>
      </c>
      <c r="K15" s="19">
        <v>2.8408504140000002</v>
      </c>
      <c r="L15" s="19">
        <v>2.7764395450000001</v>
      </c>
      <c r="M15" s="19">
        <v>2.5099263060000001</v>
      </c>
      <c r="N15" s="11">
        <v>40.088014072</v>
      </c>
      <c r="O15" s="19">
        <v>3.4622033540000001</v>
      </c>
      <c r="P15" s="19">
        <v>0</v>
      </c>
      <c r="Q15" s="19">
        <v>0</v>
      </c>
      <c r="R15" s="19">
        <v>43.550217426000003</v>
      </c>
      <c r="S15" s="337">
        <v>181255886.25</v>
      </c>
      <c r="T15" s="322">
        <v>179109657.75</v>
      </c>
      <c r="U15" s="20">
        <v>160769699.75</v>
      </c>
    </row>
    <row r="16" spans="1:100" s="20" customFormat="1" ht="24.75" customHeight="1">
      <c r="A16" s="17" t="s">
        <v>19</v>
      </c>
      <c r="B16" s="18" t="s">
        <v>20</v>
      </c>
      <c r="C16" s="19">
        <v>93.693573923000002</v>
      </c>
      <c r="D16" s="19">
        <v>98.146796253000005</v>
      </c>
      <c r="E16" s="19">
        <v>107.74750320299999</v>
      </c>
      <c r="F16" s="11">
        <v>299.58787337900003</v>
      </c>
      <c r="G16" s="19">
        <v>110.268112286</v>
      </c>
      <c r="H16" s="19">
        <v>159.6906376375</v>
      </c>
      <c r="I16" s="19">
        <v>118.721655373</v>
      </c>
      <c r="J16" s="11">
        <v>688.26827867550003</v>
      </c>
      <c r="K16" s="19">
        <v>121.03332335499999</v>
      </c>
      <c r="L16" s="19">
        <v>122.700410229</v>
      </c>
      <c r="M16" s="19">
        <v>114.03618276</v>
      </c>
      <c r="N16" s="11">
        <v>1046.0381950195001</v>
      </c>
      <c r="O16" s="19">
        <v>138.95805961900001</v>
      </c>
      <c r="P16" s="19">
        <v>0</v>
      </c>
      <c r="Q16" s="19">
        <v>0</v>
      </c>
      <c r="R16" s="19">
        <v>1184.9962546385002</v>
      </c>
      <c r="S16" s="337">
        <f>+S13+S14+S15</f>
        <v>471552977.5</v>
      </c>
      <c r="T16" s="337">
        <f>+T13+T14+T15</f>
        <v>436933202.19999999</v>
      </c>
      <c r="U16" s="337">
        <f t="shared" ref="U16:V16" si="0">+U13+U14+U15</f>
        <v>429477680.5</v>
      </c>
      <c r="V16" s="337">
        <f t="shared" si="0"/>
        <v>0</v>
      </c>
    </row>
    <row r="17" spans="1:21" s="27" customFormat="1" ht="24.75" customHeight="1">
      <c r="A17" s="25"/>
      <c r="B17" s="26" t="s">
        <v>21</v>
      </c>
      <c r="C17" s="23">
        <v>26.404815145000001</v>
      </c>
      <c r="D17" s="23">
        <v>29.534843159000001</v>
      </c>
      <c r="E17" s="23">
        <v>32.093069571999997</v>
      </c>
      <c r="F17" s="11">
        <v>88.032727875999996</v>
      </c>
      <c r="G17" s="23">
        <v>25.457241960000001</v>
      </c>
      <c r="H17" s="23">
        <v>31.398677768999999</v>
      </c>
      <c r="I17" s="23">
        <v>27.388346134999999</v>
      </c>
      <c r="J17" s="11">
        <v>172.27699373999999</v>
      </c>
      <c r="K17" s="23">
        <v>31.547072906</v>
      </c>
      <c r="L17" s="23">
        <v>30.248590777</v>
      </c>
      <c r="M17" s="23">
        <v>25.723195373999999</v>
      </c>
      <c r="N17" s="11">
        <v>259.79585279700001</v>
      </c>
      <c r="O17" s="23">
        <v>35.835118514000001</v>
      </c>
      <c r="P17" s="23">
        <v>0</v>
      </c>
      <c r="Q17" s="23">
        <v>0</v>
      </c>
      <c r="R17" s="23">
        <v>295.630971311</v>
      </c>
      <c r="S17" s="338">
        <f>+S16/1000000000</f>
        <v>0.47155297750000003</v>
      </c>
      <c r="T17" s="27">
        <f>+T16/1000000000</f>
        <v>0.43693320219999998</v>
      </c>
      <c r="U17" s="27">
        <f>+U16/1000000000</f>
        <v>0.42947768050000001</v>
      </c>
    </row>
    <row r="18" spans="1:21" s="30" customFormat="1" ht="24.75" hidden="1" customHeight="1">
      <c r="A18" s="28"/>
      <c r="B18" s="29" t="s">
        <v>22</v>
      </c>
      <c r="C18" s="23"/>
      <c r="D18" s="23"/>
      <c r="E18" s="23"/>
      <c r="F18" s="11">
        <v>0</v>
      </c>
      <c r="G18" s="23"/>
      <c r="H18" s="23"/>
      <c r="I18" s="23"/>
      <c r="J18" s="11">
        <v>0</v>
      </c>
      <c r="K18" s="23"/>
      <c r="L18" s="23"/>
      <c r="M18" s="23"/>
      <c r="N18" s="11">
        <v>0</v>
      </c>
      <c r="O18" s="23"/>
      <c r="P18" s="23"/>
      <c r="Q18" s="23"/>
      <c r="R18" s="23">
        <v>0</v>
      </c>
    </row>
    <row r="19" spans="1:21" s="30" customFormat="1" ht="24.75" customHeight="1">
      <c r="A19" s="28"/>
      <c r="B19" s="26" t="s">
        <v>23</v>
      </c>
      <c r="C19" s="23">
        <v>28.03</v>
      </c>
      <c r="D19" s="23">
        <v>38.44</v>
      </c>
      <c r="E19" s="23">
        <v>42.16</v>
      </c>
      <c r="F19" s="11">
        <v>108.63</v>
      </c>
      <c r="G19" s="23">
        <v>39.65</v>
      </c>
      <c r="H19" s="23">
        <v>46.24</v>
      </c>
      <c r="I19" s="15">
        <v>48.17</v>
      </c>
      <c r="J19" s="11">
        <v>242.69</v>
      </c>
      <c r="K19" s="23">
        <v>46.41</v>
      </c>
      <c r="L19" s="23">
        <v>49.09</v>
      </c>
      <c r="M19" s="23">
        <v>50.55</v>
      </c>
      <c r="N19" s="11">
        <v>388.74000000000007</v>
      </c>
      <c r="O19" s="23">
        <v>62.19</v>
      </c>
      <c r="P19" s="23">
        <v>0</v>
      </c>
      <c r="Q19" s="23">
        <v>0</v>
      </c>
      <c r="R19" s="23">
        <v>450.93000000000006</v>
      </c>
      <c r="S19" s="339"/>
    </row>
    <row r="20" spans="1:21" s="30" customFormat="1" ht="24.75" hidden="1" customHeight="1">
      <c r="A20" s="28"/>
      <c r="B20" s="29" t="s">
        <v>24</v>
      </c>
      <c r="C20" s="23"/>
      <c r="D20" s="23"/>
      <c r="E20" s="23"/>
      <c r="F20" s="11">
        <v>0</v>
      </c>
      <c r="G20" s="23"/>
      <c r="H20" s="23"/>
      <c r="I20" s="23"/>
      <c r="J20" s="11">
        <v>0</v>
      </c>
      <c r="K20" s="23"/>
      <c r="L20" s="23"/>
      <c r="M20" s="23"/>
      <c r="N20" s="11">
        <v>0</v>
      </c>
      <c r="O20" s="23"/>
      <c r="P20" s="23"/>
      <c r="Q20" s="23"/>
      <c r="R20" s="23">
        <v>0</v>
      </c>
      <c r="S20" s="339"/>
    </row>
    <row r="21" spans="1:21" s="30" customFormat="1" ht="24.75" customHeight="1">
      <c r="A21" s="28"/>
      <c r="B21" s="29" t="s">
        <v>25</v>
      </c>
      <c r="C21" s="23">
        <v>1.8969471760000001</v>
      </c>
      <c r="D21" s="23">
        <v>2.1019728149999999</v>
      </c>
      <c r="E21" s="23">
        <v>3.4627143349999998</v>
      </c>
      <c r="F21" s="11">
        <v>7.4616343260000004</v>
      </c>
      <c r="G21" s="23">
        <v>3.8255303500000002</v>
      </c>
      <c r="H21" s="23">
        <v>52.253790506999998</v>
      </c>
      <c r="I21" s="23">
        <v>6.0492065210000003</v>
      </c>
      <c r="J21" s="11">
        <v>69.590161703999996</v>
      </c>
      <c r="K21" s="23">
        <v>4.4495327380000003</v>
      </c>
      <c r="L21" s="23">
        <v>5.1834469040000002</v>
      </c>
      <c r="M21" s="23">
        <v>4.4671263779999997</v>
      </c>
      <c r="N21" s="11">
        <v>83.690267724000009</v>
      </c>
      <c r="O21" s="23">
        <v>1.220595324</v>
      </c>
      <c r="P21" s="23">
        <v>0</v>
      </c>
      <c r="Q21" s="23">
        <v>0</v>
      </c>
      <c r="R21" s="23">
        <v>84.91086304800001</v>
      </c>
      <c r="S21" s="30">
        <f>+S22/1000000000</f>
        <v>3.1737103809999998</v>
      </c>
      <c r="T21" s="30">
        <f>+T22/1000000000</f>
        <v>5.2784966764499996</v>
      </c>
      <c r="U21" s="30">
        <f>+U22/1000000000</f>
        <v>4.660533568</v>
      </c>
    </row>
    <row r="22" spans="1:21" s="30" customFormat="1" ht="24.75" customHeight="1">
      <c r="A22" s="28"/>
      <c r="B22" s="29" t="s">
        <v>691</v>
      </c>
      <c r="C22" s="23">
        <v>3.1737103805499998</v>
      </c>
      <c r="D22" s="23">
        <v>5.2485156264499997</v>
      </c>
      <c r="E22" s="23">
        <v>4.4275068895999992</v>
      </c>
      <c r="F22" s="11">
        <v>12.849732896599999</v>
      </c>
      <c r="G22" s="23">
        <v>4.7328691012500004</v>
      </c>
      <c r="H22" s="23">
        <v>4.3683605194499995</v>
      </c>
      <c r="I22" s="23">
        <v>4.9395715841999994</v>
      </c>
      <c r="J22" s="11">
        <v>26.890534101499998</v>
      </c>
      <c r="K22" s="23">
        <v>4.8686827171999996</v>
      </c>
      <c r="L22" s="23">
        <v>5.0802165191999995</v>
      </c>
      <c r="M22" s="23">
        <v>4.7694008239999999</v>
      </c>
      <c r="N22" s="11">
        <v>41.608834161899999</v>
      </c>
      <c r="O22" s="23">
        <v>4.6116761420000003</v>
      </c>
      <c r="P22" s="23"/>
      <c r="Q22" s="23"/>
      <c r="R22" s="23">
        <v>46.220510303899999</v>
      </c>
      <c r="S22" s="30">
        <v>3173710381</v>
      </c>
      <c r="T22" s="30">
        <v>5278496676.4499998</v>
      </c>
      <c r="U22" s="30">
        <v>4660533568</v>
      </c>
    </row>
    <row r="23" spans="1:21" s="20" customFormat="1" ht="27.75" customHeight="1">
      <c r="A23" s="17" t="s">
        <v>26</v>
      </c>
      <c r="B23" s="32" t="s">
        <v>27</v>
      </c>
      <c r="C23" s="19">
        <v>25.52</v>
      </c>
      <c r="D23" s="19">
        <v>33.97</v>
      </c>
      <c r="E23" s="19">
        <v>35.49</v>
      </c>
      <c r="F23" s="11">
        <v>94.97999999999999</v>
      </c>
      <c r="G23" s="19">
        <v>34.04</v>
      </c>
      <c r="H23" s="19">
        <v>39.51</v>
      </c>
      <c r="I23" s="19">
        <v>41.32</v>
      </c>
      <c r="J23" s="11">
        <v>209.84999999999997</v>
      </c>
      <c r="K23" s="19">
        <v>41.76</v>
      </c>
      <c r="L23" s="19">
        <v>40.47</v>
      </c>
      <c r="M23" s="19">
        <v>40.46</v>
      </c>
      <c r="N23" s="11">
        <v>332.53999999999991</v>
      </c>
      <c r="O23" s="19">
        <v>51.7</v>
      </c>
      <c r="P23" s="19">
        <v>0</v>
      </c>
      <c r="Q23" s="19">
        <v>0</v>
      </c>
      <c r="R23" s="19">
        <v>384.2399999999999</v>
      </c>
      <c r="S23" s="322">
        <v>3173710381</v>
      </c>
      <c r="T23" s="20">
        <v>5278496676.4499998</v>
      </c>
    </row>
    <row r="24" spans="1:21" s="20" customFormat="1" ht="24.75" customHeight="1">
      <c r="A24" s="17"/>
      <c r="B24" s="18" t="s">
        <v>679</v>
      </c>
      <c r="C24" s="15">
        <v>2.84</v>
      </c>
      <c r="D24" s="19">
        <v>3.21</v>
      </c>
      <c r="E24" s="19">
        <v>3.57</v>
      </c>
      <c r="F24" s="11">
        <v>9.6199999999999992</v>
      </c>
      <c r="G24" s="19">
        <v>3.2</v>
      </c>
      <c r="H24" s="19">
        <v>3.75</v>
      </c>
      <c r="I24" s="19">
        <v>4.21</v>
      </c>
      <c r="J24" s="11">
        <v>20.78</v>
      </c>
      <c r="K24" s="19">
        <v>3.48</v>
      </c>
      <c r="L24" s="19">
        <v>3.89</v>
      </c>
      <c r="M24" s="19">
        <v>3.62</v>
      </c>
      <c r="N24" s="11">
        <v>31.770000000000003</v>
      </c>
      <c r="O24" s="19">
        <v>4.5</v>
      </c>
      <c r="P24" s="23"/>
      <c r="Q24" s="23"/>
      <c r="R24" s="19">
        <v>36.270000000000003</v>
      </c>
      <c r="S24" s="322"/>
    </row>
    <row r="25" spans="1:21" s="27" customFormat="1" ht="24.75" hidden="1" customHeight="1">
      <c r="A25" s="25"/>
      <c r="B25" s="26" t="s">
        <v>28</v>
      </c>
      <c r="C25" s="23"/>
      <c r="D25" s="23"/>
      <c r="E25" s="23"/>
      <c r="F25" s="11">
        <v>0</v>
      </c>
      <c r="G25" s="23"/>
      <c r="H25" s="23"/>
      <c r="I25" s="23"/>
      <c r="J25" s="11">
        <v>0</v>
      </c>
      <c r="K25" s="23"/>
      <c r="L25" s="23"/>
      <c r="M25" s="23"/>
      <c r="N25" s="11">
        <v>0</v>
      </c>
      <c r="O25" s="23"/>
      <c r="P25" s="23"/>
      <c r="Q25" s="23"/>
      <c r="R25" s="23"/>
    </row>
    <row r="26" spans="1:21" ht="24.75" customHeight="1">
      <c r="A26" s="13" t="s">
        <v>29</v>
      </c>
      <c r="B26" s="33" t="s">
        <v>30</v>
      </c>
      <c r="C26" s="15">
        <v>2.572349204</v>
      </c>
      <c r="D26" s="15">
        <v>3.4888472620000002</v>
      </c>
      <c r="E26" s="15">
        <v>4.0544809339999999</v>
      </c>
      <c r="F26" s="11">
        <v>10.115677399999999</v>
      </c>
      <c r="G26" s="15">
        <v>4.3729230860000001</v>
      </c>
      <c r="H26" s="15">
        <v>2.9165555319999998</v>
      </c>
      <c r="I26" s="15">
        <v>3.3621649169999999</v>
      </c>
      <c r="J26" s="11">
        <v>20.767320935000001</v>
      </c>
      <c r="K26" s="15">
        <v>3.8306941910000001</v>
      </c>
      <c r="L26" s="15">
        <v>3.070303488</v>
      </c>
      <c r="M26" s="15">
        <v>4.3586808000000001</v>
      </c>
      <c r="N26" s="11">
        <v>32.026999414000002</v>
      </c>
      <c r="O26" s="15">
        <v>3.9171700700000001</v>
      </c>
      <c r="P26" s="15">
        <v>0</v>
      </c>
      <c r="Q26" s="15">
        <v>0</v>
      </c>
      <c r="R26" s="15">
        <v>35.944169484</v>
      </c>
      <c r="S26">
        <v>687.56489530150009</v>
      </c>
    </row>
    <row r="27" spans="1:21" s="20" customFormat="1" ht="24.75" customHeight="1">
      <c r="A27" s="17" t="s">
        <v>31</v>
      </c>
      <c r="B27" s="34" t="s">
        <v>32</v>
      </c>
      <c r="C27" s="19">
        <v>0</v>
      </c>
      <c r="D27" s="19">
        <v>0</v>
      </c>
      <c r="E27" s="19">
        <v>0</v>
      </c>
      <c r="F27" s="11">
        <v>0</v>
      </c>
      <c r="G27" s="19">
        <v>0</v>
      </c>
      <c r="H27" s="19">
        <v>0</v>
      </c>
      <c r="I27" s="19">
        <v>0</v>
      </c>
      <c r="J27" s="11">
        <v>0</v>
      </c>
      <c r="K27" s="19">
        <v>0</v>
      </c>
      <c r="L27" s="19">
        <v>0</v>
      </c>
      <c r="M27" s="19">
        <v>0</v>
      </c>
      <c r="N27" s="11">
        <v>0</v>
      </c>
      <c r="O27" s="19">
        <v>0</v>
      </c>
      <c r="P27" s="19">
        <v>0</v>
      </c>
      <c r="Q27" s="19">
        <v>0</v>
      </c>
      <c r="R27" s="19">
        <v>0</v>
      </c>
    </row>
    <row r="28" spans="1:21" s="20" customFormat="1" ht="24.75" customHeight="1">
      <c r="A28" s="17" t="s">
        <v>33</v>
      </c>
      <c r="B28" s="34" t="s">
        <v>34</v>
      </c>
      <c r="C28" s="19">
        <v>3.0640000000000001</v>
      </c>
      <c r="D28" s="19">
        <v>3.1</v>
      </c>
      <c r="E28" s="19">
        <v>3.4</v>
      </c>
      <c r="F28" s="11">
        <v>9.5640000000000001</v>
      </c>
      <c r="G28" s="19">
        <v>28.271944444400003</v>
      </c>
      <c r="H28" s="19">
        <v>23.444444444444443</v>
      </c>
      <c r="I28" s="19">
        <v>23.444444444444443</v>
      </c>
      <c r="J28" s="11">
        <v>84.724833333288885</v>
      </c>
      <c r="K28" s="19">
        <v>23.4444444445</v>
      </c>
      <c r="L28" s="19">
        <v>23.4444444445</v>
      </c>
      <c r="M28" s="19">
        <v>0</v>
      </c>
      <c r="N28" s="11">
        <v>131.61372222228889</v>
      </c>
      <c r="O28" s="19">
        <v>0</v>
      </c>
      <c r="P28" s="19">
        <v>0</v>
      </c>
      <c r="Q28" s="19">
        <v>0</v>
      </c>
      <c r="R28" s="19">
        <v>131.61372222228889</v>
      </c>
    </row>
    <row r="29" spans="1:21" ht="24.75" customHeight="1">
      <c r="A29" s="13"/>
      <c r="B29" s="14" t="s">
        <v>35</v>
      </c>
      <c r="C29" s="15">
        <v>0.56399999999999995</v>
      </c>
      <c r="D29" s="15">
        <v>0</v>
      </c>
      <c r="E29" s="15">
        <v>0</v>
      </c>
      <c r="F29" s="11">
        <v>0.56399999999999995</v>
      </c>
      <c r="G29" s="15">
        <v>4.8274999999999997</v>
      </c>
      <c r="H29" s="15">
        <v>0</v>
      </c>
      <c r="I29" s="15">
        <v>0</v>
      </c>
      <c r="J29" s="11">
        <v>5.3914999999999997</v>
      </c>
      <c r="K29" s="15">
        <v>0</v>
      </c>
      <c r="L29" s="15">
        <v>0</v>
      </c>
      <c r="M29" s="15">
        <v>0</v>
      </c>
      <c r="N29" s="11">
        <v>5.3914999999999997</v>
      </c>
      <c r="O29" s="15">
        <v>0</v>
      </c>
      <c r="P29" s="15">
        <v>0</v>
      </c>
      <c r="Q29" s="15">
        <v>0</v>
      </c>
      <c r="R29" s="15">
        <v>5.3914999999999997</v>
      </c>
    </row>
    <row r="30" spans="1:21" ht="24.75" customHeight="1">
      <c r="A30" s="13"/>
      <c r="B30" s="14" t="s">
        <v>36</v>
      </c>
      <c r="C30" s="15">
        <v>2.5</v>
      </c>
      <c r="D30" s="15">
        <v>3.1</v>
      </c>
      <c r="E30" s="15">
        <v>3.4</v>
      </c>
      <c r="F30" s="11">
        <v>9</v>
      </c>
      <c r="G30" s="15">
        <v>23.444444444400002</v>
      </c>
      <c r="H30" s="15">
        <v>23.444444444444443</v>
      </c>
      <c r="I30" s="15">
        <v>23.444444444444443</v>
      </c>
      <c r="J30" s="11">
        <v>79.333333333288891</v>
      </c>
      <c r="K30" s="15">
        <v>23.4444444445</v>
      </c>
      <c r="L30" s="15">
        <v>23.4444444445</v>
      </c>
      <c r="M30" s="15">
        <v>0</v>
      </c>
      <c r="N30" s="11">
        <v>126.22222222228888</v>
      </c>
      <c r="O30" s="15">
        <v>0</v>
      </c>
      <c r="P30" s="15">
        <v>0</v>
      </c>
      <c r="Q30" s="15">
        <v>0</v>
      </c>
      <c r="R30" s="15">
        <v>126.22222222228888</v>
      </c>
      <c r="S30" s="9">
        <f>+R37+R54</f>
        <v>923.84348737000016</v>
      </c>
    </row>
    <row r="31" spans="1:21" s="20" customFormat="1" ht="24.75" customHeight="1">
      <c r="A31" s="17" t="s">
        <v>37</v>
      </c>
      <c r="B31" s="34" t="s">
        <v>38</v>
      </c>
      <c r="C31" s="19">
        <v>12.179768794999999</v>
      </c>
      <c r="D31" s="19">
        <v>13.261478126833332</v>
      </c>
      <c r="E31" s="19">
        <v>7.8752991159999999</v>
      </c>
      <c r="F31" s="11">
        <v>33.316546037833334</v>
      </c>
      <c r="G31" s="19">
        <v>4.7957638300000003</v>
      </c>
      <c r="H31" s="19">
        <v>9.3033986809999991</v>
      </c>
      <c r="I31" s="19">
        <v>5.305840871</v>
      </c>
      <c r="J31" s="11">
        <v>52.72154941983333</v>
      </c>
      <c r="K31" s="19">
        <v>7.0138971530000003</v>
      </c>
      <c r="L31" s="19">
        <v>8.439605662</v>
      </c>
      <c r="M31" s="19">
        <v>51.033884133000001</v>
      </c>
      <c r="N31" s="11">
        <v>119.20893636783333</v>
      </c>
      <c r="O31" s="19">
        <v>14.253694342999999</v>
      </c>
      <c r="P31" s="19">
        <v>0</v>
      </c>
      <c r="Q31" s="19">
        <v>0</v>
      </c>
      <c r="R31" s="19">
        <v>133.46263071083334</v>
      </c>
    </row>
    <row r="32" spans="1:21" s="27" customFormat="1" ht="24.75" customHeight="1">
      <c r="A32" s="25"/>
      <c r="B32" s="22" t="s">
        <v>39</v>
      </c>
      <c r="C32" s="23">
        <v>2.8000000000000001E-2</v>
      </c>
      <c r="D32" s="23">
        <v>0</v>
      </c>
      <c r="E32" s="23">
        <v>3.5</v>
      </c>
      <c r="F32" s="11">
        <v>3.528</v>
      </c>
      <c r="G32" s="23">
        <v>1.8</v>
      </c>
      <c r="H32" s="23">
        <v>0</v>
      </c>
      <c r="I32" s="23">
        <v>1.35</v>
      </c>
      <c r="J32" s="11">
        <v>6.6780000000000008</v>
      </c>
      <c r="K32" s="23">
        <v>0</v>
      </c>
      <c r="L32" s="23">
        <v>6.3219370999999996E-2</v>
      </c>
      <c r="M32" s="23">
        <v>47.714587741999999</v>
      </c>
      <c r="N32" s="11">
        <v>54.455807112999999</v>
      </c>
      <c r="O32" s="23">
        <v>0</v>
      </c>
      <c r="P32" s="23">
        <v>0</v>
      </c>
      <c r="Q32" s="23">
        <v>0</v>
      </c>
      <c r="R32" s="23">
        <v>54.455807112999999</v>
      </c>
    </row>
    <row r="33" spans="1:84" s="27" customFormat="1" ht="24.75" customHeight="1">
      <c r="A33" s="25"/>
      <c r="B33" s="22" t="s">
        <v>40</v>
      </c>
      <c r="C33" s="23">
        <v>0</v>
      </c>
      <c r="D33" s="23">
        <v>0</v>
      </c>
      <c r="E33" s="23">
        <v>0</v>
      </c>
      <c r="F33" s="11">
        <v>0</v>
      </c>
      <c r="G33" s="23">
        <v>0</v>
      </c>
      <c r="H33" s="23">
        <v>0</v>
      </c>
      <c r="I33" s="23">
        <v>0</v>
      </c>
      <c r="J33" s="11">
        <v>0</v>
      </c>
      <c r="K33" s="23">
        <v>0</v>
      </c>
      <c r="L33" s="23">
        <v>0</v>
      </c>
      <c r="M33" s="23">
        <v>0</v>
      </c>
      <c r="N33" s="11">
        <v>0</v>
      </c>
      <c r="O33" s="23">
        <v>0</v>
      </c>
      <c r="P33" s="23">
        <v>0</v>
      </c>
      <c r="Q33" s="23">
        <v>0</v>
      </c>
      <c r="R33" s="23">
        <v>0</v>
      </c>
      <c r="S33" s="338">
        <f>+R37+R54</f>
        <v>923.84348737000016</v>
      </c>
    </row>
    <row r="34" spans="1:84" s="27" customFormat="1" ht="24.75" customHeight="1">
      <c r="A34" s="25"/>
      <c r="B34" s="22" t="s">
        <v>41</v>
      </c>
      <c r="C34" s="23">
        <v>0</v>
      </c>
      <c r="D34" s="23">
        <v>0</v>
      </c>
      <c r="E34" s="23">
        <v>0</v>
      </c>
      <c r="F34" s="11">
        <v>0</v>
      </c>
      <c r="G34" s="23">
        <v>0</v>
      </c>
      <c r="H34" s="23">
        <v>0</v>
      </c>
      <c r="I34" s="23">
        <v>0</v>
      </c>
      <c r="J34" s="11">
        <v>0</v>
      </c>
      <c r="K34" s="23">
        <v>0</v>
      </c>
      <c r="L34" s="23">
        <v>0</v>
      </c>
      <c r="M34" s="23">
        <v>0</v>
      </c>
      <c r="N34" s="11">
        <v>0</v>
      </c>
      <c r="O34" s="23">
        <v>0</v>
      </c>
      <c r="P34" s="23">
        <v>0</v>
      </c>
      <c r="Q34" s="23">
        <v>0</v>
      </c>
      <c r="R34" s="23">
        <v>0</v>
      </c>
      <c r="S34" s="338"/>
    </row>
    <row r="35" spans="1:84" s="27" customFormat="1" ht="24.75" customHeight="1">
      <c r="A35" s="25"/>
      <c r="B35" s="22" t="s">
        <v>42</v>
      </c>
      <c r="C35" s="23">
        <v>12.151768795000001</v>
      </c>
      <c r="D35" s="23">
        <v>13.261478126833332</v>
      </c>
      <c r="E35" s="23">
        <v>4.3752991159999999</v>
      </c>
      <c r="F35" s="11">
        <v>29.788546037833335</v>
      </c>
      <c r="G35" s="23">
        <v>2.99576383</v>
      </c>
      <c r="H35" s="23">
        <v>9.3033986809999991</v>
      </c>
      <c r="I35" s="23">
        <v>3.9558408709999999</v>
      </c>
      <c r="J35" s="11">
        <v>46.043549419833333</v>
      </c>
      <c r="K35" s="23">
        <v>7.0138971530000003</v>
      </c>
      <c r="L35" s="23">
        <v>8.3763862909999993</v>
      </c>
      <c r="M35" s="23">
        <v>3.319296391</v>
      </c>
      <c r="N35" s="11">
        <v>64.753129254833325</v>
      </c>
      <c r="O35" s="23">
        <v>14.253694342999999</v>
      </c>
      <c r="P35" s="23">
        <v>0</v>
      </c>
      <c r="Q35" s="23">
        <v>0</v>
      </c>
      <c r="R35" s="23">
        <v>79.006823597833318</v>
      </c>
      <c r="S35" s="338"/>
    </row>
    <row r="36" spans="1:84" s="12" customFormat="1" ht="24.75" customHeight="1">
      <c r="A36" s="7" t="s">
        <v>43</v>
      </c>
      <c r="B36" s="10" t="s">
        <v>44</v>
      </c>
      <c r="C36" s="11">
        <v>394.92181479165674</v>
      </c>
      <c r="D36" s="11">
        <v>385.15193112599997</v>
      </c>
      <c r="E36" s="11">
        <v>436.68184263590695</v>
      </c>
      <c r="F36" s="11">
        <v>1216.7555885535635</v>
      </c>
      <c r="G36" s="11">
        <v>338.31089426099999</v>
      </c>
      <c r="H36" s="11">
        <v>276.78131628100004</v>
      </c>
      <c r="I36" s="11">
        <v>304.50867019100008</v>
      </c>
      <c r="J36" s="11">
        <v>2136.3564692865634</v>
      </c>
      <c r="K36" s="11">
        <v>478.61525464462505</v>
      </c>
      <c r="L36" s="11">
        <v>189.073090046</v>
      </c>
      <c r="M36" s="11">
        <v>205.50175843899999</v>
      </c>
      <c r="N36" s="11">
        <v>3009.5465724161882</v>
      </c>
      <c r="O36" s="11">
        <v>259.59040968199997</v>
      </c>
      <c r="P36" s="11">
        <v>0</v>
      </c>
      <c r="Q36" s="11">
        <v>0</v>
      </c>
      <c r="R36" s="11">
        <v>3269.1369820981895</v>
      </c>
      <c r="S36" s="330">
        <f>+(Q36+Q66)*1000000000</f>
        <v>0</v>
      </c>
      <c r="T36" s="330">
        <f>+(R36+R66)*1000000000+90000000000</f>
        <v>3848247517544.5864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</row>
    <row r="37" spans="1:84" ht="24.75" customHeight="1">
      <c r="A37" s="13" t="s">
        <v>45</v>
      </c>
      <c r="B37" s="14" t="s">
        <v>46</v>
      </c>
      <c r="C37" s="15">
        <v>74.109060654000004</v>
      </c>
      <c r="D37" s="15">
        <v>75.899697138999997</v>
      </c>
      <c r="E37" s="15">
        <v>77.164449207999994</v>
      </c>
      <c r="F37" s="11">
        <v>227.17320700099998</v>
      </c>
      <c r="G37" s="15">
        <v>77.456441725000005</v>
      </c>
      <c r="H37" s="15">
        <v>98.589092965000006</v>
      </c>
      <c r="I37" s="15">
        <v>96.267259181</v>
      </c>
      <c r="J37" s="11">
        <v>499.48600087199998</v>
      </c>
      <c r="K37" s="15">
        <v>98.873480705000006</v>
      </c>
      <c r="L37" s="15">
        <v>99.886881826000007</v>
      </c>
      <c r="M37" s="15">
        <v>101.010887256</v>
      </c>
      <c r="N37" s="11">
        <v>799.25725065900008</v>
      </c>
      <c r="O37" s="15">
        <v>102.65069979499999</v>
      </c>
      <c r="P37" s="15">
        <v>0</v>
      </c>
      <c r="Q37" s="15">
        <v>0</v>
      </c>
      <c r="R37" s="15">
        <v>901.90795045400012</v>
      </c>
      <c r="S37" s="340">
        <f>+'[14]SIGFIP(y compr régul°)'!N227+[14]DEVERS!N47+'[14]Tirages ress ext'!M21+[14]INTERET_INTERIEUR!N22+[14]INTERET_EXTERIEUR!M31+'[14]REGUL EN INSTANCE &amp; AJUSTEMENTS'!M5+'[14]REGUL EN INSTANCE &amp; AJUSTEMENTS'!M6</f>
        <v>0</v>
      </c>
      <c r="T37" s="330">
        <f>+'[14]SIGFIP(y compr régul°)'!O227+[14]INTERET_EXTERIEUR!N31+[14]DEVERS!O47+[14]INTERET_INTERIEUR!O22+'[14]REGUL EN INSTANCE &amp; AJUSTEMENTS'!N5+'[14]REGUL EN INSTANCE &amp; AJUSTEMENTS'!N6+'[14]Tirages ress ext'!N21</f>
        <v>3844164102804.5859</v>
      </c>
      <c r="U37" s="340"/>
      <c r="V37" s="340"/>
      <c r="W37" s="340"/>
      <c r="X37" s="340"/>
      <c r="Y37" s="340"/>
      <c r="Z37" s="340"/>
      <c r="AA37" s="340"/>
      <c r="AB37" s="340"/>
      <c r="AC37" s="340"/>
      <c r="AD37" s="340"/>
      <c r="AE37" s="340"/>
    </row>
    <row r="38" spans="1:84" ht="24.75" customHeight="1">
      <c r="A38" s="13" t="s">
        <v>47</v>
      </c>
      <c r="B38" s="14" t="s">
        <v>48</v>
      </c>
      <c r="C38" s="15">
        <v>19.288702057999998</v>
      </c>
      <c r="D38" s="15">
        <v>41.471508342</v>
      </c>
      <c r="E38" s="15">
        <v>36.657826049999997</v>
      </c>
      <c r="F38" s="11">
        <v>97.418036449999988</v>
      </c>
      <c r="G38" s="15">
        <v>31.313927882000002</v>
      </c>
      <c r="H38" s="15">
        <v>31.431620597999999</v>
      </c>
      <c r="I38" s="15">
        <v>35.378911637999998</v>
      </c>
      <c r="J38" s="11">
        <v>195.54249656799999</v>
      </c>
      <c r="K38" s="15">
        <v>46.781115024000002</v>
      </c>
      <c r="L38" s="15">
        <v>28.970693203</v>
      </c>
      <c r="M38" s="15">
        <v>21.742091824999999</v>
      </c>
      <c r="N38" s="11">
        <v>293.03639662</v>
      </c>
      <c r="O38" s="15">
        <v>28.497232255</v>
      </c>
      <c r="P38" s="15">
        <v>0</v>
      </c>
      <c r="Q38" s="15">
        <v>0</v>
      </c>
      <c r="R38" s="15">
        <v>321.53362887499998</v>
      </c>
      <c r="S38" s="341">
        <f>+S37-S36</f>
        <v>0</v>
      </c>
      <c r="T38" s="341">
        <f>+T37-T36</f>
        <v>-4083414740.0004883</v>
      </c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</row>
    <row r="39" spans="1:84" s="27" customFormat="1" ht="24.75" customHeight="1">
      <c r="A39" s="25"/>
      <c r="B39" s="22" t="s">
        <v>49</v>
      </c>
      <c r="C39" s="23">
        <v>0</v>
      </c>
      <c r="D39" s="23">
        <v>0</v>
      </c>
      <c r="E39" s="23">
        <v>0</v>
      </c>
      <c r="F39" s="11">
        <v>0</v>
      </c>
      <c r="G39" s="23">
        <v>0</v>
      </c>
      <c r="H39" s="23">
        <v>0</v>
      </c>
      <c r="I39" s="23">
        <v>0</v>
      </c>
      <c r="J39" s="11">
        <v>0</v>
      </c>
      <c r="K39" s="23">
        <v>0</v>
      </c>
      <c r="L39" s="23">
        <v>0</v>
      </c>
      <c r="M39" s="23">
        <v>0</v>
      </c>
      <c r="N39" s="11">
        <v>0</v>
      </c>
      <c r="O39" s="23">
        <v>0</v>
      </c>
      <c r="P39" s="23">
        <v>0</v>
      </c>
      <c r="Q39" s="23">
        <v>0</v>
      </c>
      <c r="R39" s="23">
        <v>0</v>
      </c>
      <c r="S39" s="341"/>
    </row>
    <row r="40" spans="1:84" s="27" customFormat="1" ht="24.75" customHeight="1">
      <c r="A40" s="25"/>
      <c r="B40" s="22" t="s">
        <v>50</v>
      </c>
      <c r="C40" s="23">
        <v>0.124542</v>
      </c>
      <c r="D40" s="23">
        <v>0</v>
      </c>
      <c r="E40" s="35">
        <v>3.2859262E-2</v>
      </c>
      <c r="F40" s="11">
        <v>0.15740126199999999</v>
      </c>
      <c r="G40" s="35">
        <v>9.9942288000000004E-2</v>
      </c>
      <c r="H40" s="23">
        <v>0.88232283899999997</v>
      </c>
      <c r="I40" s="23">
        <v>9.1359425999999994E-2</v>
      </c>
      <c r="J40" s="11">
        <v>1.2310258149999997</v>
      </c>
      <c r="K40" s="23">
        <v>0.41782702399999999</v>
      </c>
      <c r="L40" s="23">
        <v>0.34330052900000002</v>
      </c>
      <c r="M40" s="23">
        <v>0.33030718999999997</v>
      </c>
      <c r="N40" s="11">
        <v>2.3224605579999995</v>
      </c>
      <c r="O40" s="23">
        <v>3.1625960000000002E-2</v>
      </c>
      <c r="P40" s="23">
        <v>0</v>
      </c>
      <c r="Q40" s="23">
        <v>0</v>
      </c>
      <c r="R40" s="23">
        <v>2.3540865179999995</v>
      </c>
      <c r="S40" s="342">
        <v>1037</v>
      </c>
      <c r="T40" s="27">
        <f>+S40/6</f>
        <v>172.83333333333334</v>
      </c>
    </row>
    <row r="41" spans="1:84" ht="24.75" customHeight="1">
      <c r="A41" s="13" t="s">
        <v>51</v>
      </c>
      <c r="B41" s="14" t="s">
        <v>52</v>
      </c>
      <c r="C41" s="15">
        <v>0</v>
      </c>
      <c r="D41" s="15">
        <v>0</v>
      </c>
      <c r="E41" s="15">
        <v>0</v>
      </c>
      <c r="F41" s="11">
        <v>0</v>
      </c>
      <c r="G41" s="15">
        <v>0</v>
      </c>
      <c r="H41" s="15">
        <v>0</v>
      </c>
      <c r="I41" s="15">
        <v>0</v>
      </c>
      <c r="J41" s="11">
        <v>0</v>
      </c>
      <c r="K41" s="15">
        <v>0</v>
      </c>
      <c r="L41" s="15">
        <v>0</v>
      </c>
      <c r="M41" s="15">
        <v>0</v>
      </c>
      <c r="N41" s="11">
        <v>0</v>
      </c>
      <c r="O41" s="15">
        <v>0</v>
      </c>
      <c r="P41" s="15">
        <v>0</v>
      </c>
      <c r="Q41" s="15">
        <v>0</v>
      </c>
      <c r="R41" s="15">
        <v>0</v>
      </c>
      <c r="S41" s="343">
        <v>403.22</v>
      </c>
      <c r="T41" s="9"/>
    </row>
    <row r="42" spans="1:84" s="36" customFormat="1" ht="24.75" customHeight="1">
      <c r="A42" s="13" t="s">
        <v>53</v>
      </c>
      <c r="B42" s="14" t="s">
        <v>54</v>
      </c>
      <c r="C42" s="15">
        <v>31.658930616656701</v>
      </c>
      <c r="D42" s="15">
        <v>14.225139934</v>
      </c>
      <c r="E42" s="15">
        <v>77.204947431907101</v>
      </c>
      <c r="F42" s="11">
        <v>123.0890179825638</v>
      </c>
      <c r="G42" s="15">
        <v>19.575718942000002</v>
      </c>
      <c r="H42" s="15">
        <v>20.288654999999999</v>
      </c>
      <c r="I42" s="15">
        <v>51.353530106999997</v>
      </c>
      <c r="J42" s="11">
        <v>214.30692203156383</v>
      </c>
      <c r="K42" s="15">
        <v>35.830441440625002</v>
      </c>
      <c r="L42" s="15">
        <v>6.6949074380000004</v>
      </c>
      <c r="M42" s="15">
        <v>44.351591374999998</v>
      </c>
      <c r="N42" s="11">
        <v>301.18386228518881</v>
      </c>
      <c r="O42" s="15">
        <v>23.197620359999998</v>
      </c>
      <c r="P42" s="15">
        <v>0</v>
      </c>
      <c r="Q42" s="15">
        <v>0</v>
      </c>
      <c r="R42" s="15">
        <v>324.38148264518878</v>
      </c>
      <c r="S42" s="344">
        <f>+S40-S41</f>
        <v>633.78</v>
      </c>
      <c r="T42" s="345">
        <f>+'[14]SIGFIP(y compr régul°)'!O227+[14]DEVERS!O47+'[14]REGUL EN INSTANCE &amp; AJUSTEMENTS'!N10+[14]INTERET_INTERIEUR!O22+[14]INTERET_EXTERIEUR!N31+'[14]Tirages ress ext'!N15+'[14]Tirages ress ext'!N16</f>
        <v>3844164102804.5864</v>
      </c>
    </row>
    <row r="43" spans="1:84" s="38" customFormat="1" ht="24.75" customHeight="1">
      <c r="A43" s="25"/>
      <c r="B43" s="37" t="s">
        <v>55</v>
      </c>
      <c r="C43" s="23">
        <v>26.079557821312541</v>
      </c>
      <c r="D43" s="23">
        <v>8.5898559622835293</v>
      </c>
      <c r="E43" s="23">
        <v>68.321396197907106</v>
      </c>
      <c r="F43" s="11">
        <v>102.99080998150318</v>
      </c>
      <c r="G43" s="23">
        <v>16.829564491345</v>
      </c>
      <c r="H43" s="23">
        <v>19.806049716</v>
      </c>
      <c r="I43" s="23">
        <v>41.712921899293541</v>
      </c>
      <c r="J43" s="11">
        <v>181.33934608814172</v>
      </c>
      <c r="K43" s="23">
        <v>30.828452857454561</v>
      </c>
      <c r="L43" s="23">
        <v>5.8569339999999999</v>
      </c>
      <c r="M43" s="23">
        <v>39.7443859975225</v>
      </c>
      <c r="N43" s="11">
        <v>257.76911894311877</v>
      </c>
      <c r="O43" s="23">
        <v>20.164740223999999</v>
      </c>
      <c r="P43" s="23">
        <v>0</v>
      </c>
      <c r="Q43" s="23">
        <v>0</v>
      </c>
      <c r="R43" s="15">
        <v>277.93385916711878</v>
      </c>
      <c r="S43" s="346">
        <f>+S42/7</f>
        <v>90.539999999999992</v>
      </c>
      <c r="T43" s="347">
        <f>+T37-T42</f>
        <v>0</v>
      </c>
    </row>
    <row r="44" spans="1:84" s="38" customFormat="1" ht="24.75" customHeight="1">
      <c r="A44" s="25"/>
      <c r="B44" s="37" t="s">
        <v>56</v>
      </c>
      <c r="C44" s="23">
        <v>5.5793727953441596</v>
      </c>
      <c r="D44" s="23">
        <v>5.6352839717164693</v>
      </c>
      <c r="E44" s="23">
        <v>8.8835512340000005</v>
      </c>
      <c r="F44" s="11">
        <v>20.098208001060627</v>
      </c>
      <c r="G44" s="23">
        <v>2.7461544506549997</v>
      </c>
      <c r="H44" s="23">
        <v>0.48260528400000002</v>
      </c>
      <c r="I44" s="23">
        <v>9.6406082077064603</v>
      </c>
      <c r="J44" s="11">
        <v>32.967575943422091</v>
      </c>
      <c r="K44" s="23">
        <v>5.0019885831704372</v>
      </c>
      <c r="L44" s="23">
        <v>0.83797343800000001</v>
      </c>
      <c r="M44" s="23">
        <v>4.6072053774775004</v>
      </c>
      <c r="N44" s="11">
        <v>43.414743342070025</v>
      </c>
      <c r="O44" s="23">
        <v>3.0328801360000002</v>
      </c>
      <c r="P44" s="23">
        <v>0</v>
      </c>
      <c r="Q44" s="23">
        <v>0</v>
      </c>
      <c r="R44" s="15">
        <v>46.447623478070028</v>
      </c>
      <c r="S44" s="343">
        <f>+R42/8</f>
        <v>40.547685330648598</v>
      </c>
      <c r="T44" s="348">
        <f>+'[14]SIGFIP(y compr régul°)'!O227+[14]INTERET_INTERIEUR!O22+[14]INTERET_EXTERIEUR!N31+[14]DEVERS!O47+'[14]REGUL EN INSTANCE &amp; AJUSTEMENTS'!N5+'[14]REGUL EN INSTANCE &amp; AJUSTEMENTS'!N6+'[14]Tirages ress ext'!N21</f>
        <v>3844164102804.5859</v>
      </c>
    </row>
    <row r="45" spans="1:84" ht="24.75" customHeight="1">
      <c r="A45" s="13" t="s">
        <v>57</v>
      </c>
      <c r="B45" s="14" t="s">
        <v>58</v>
      </c>
      <c r="C45" s="15">
        <v>10.429670326</v>
      </c>
      <c r="D45" s="15">
        <v>4.4567161320000004</v>
      </c>
      <c r="E45" s="15">
        <v>2.2029706459999998</v>
      </c>
      <c r="F45" s="11">
        <v>17.089357104000001</v>
      </c>
      <c r="G45" s="15">
        <v>4.802422097</v>
      </c>
      <c r="H45" s="15">
        <v>4.5641552540000001</v>
      </c>
      <c r="I45" s="15">
        <v>4.2967884959999996</v>
      </c>
      <c r="J45" s="11">
        <v>30.752722951000003</v>
      </c>
      <c r="K45" s="15">
        <v>6.0836393800000002</v>
      </c>
      <c r="L45" s="15">
        <v>2.238494583</v>
      </c>
      <c r="M45" s="15">
        <v>1.4495</v>
      </c>
      <c r="N45" s="11">
        <v>40.524356914000002</v>
      </c>
      <c r="O45" s="15">
        <v>2.071982325</v>
      </c>
      <c r="P45" s="15">
        <v>0</v>
      </c>
      <c r="Q45" s="15">
        <v>0</v>
      </c>
      <c r="R45" s="15">
        <v>42.596339239000002</v>
      </c>
      <c r="S45" s="344">
        <v>76.083333333333329</v>
      </c>
      <c r="T45" s="9"/>
    </row>
    <row r="46" spans="1:84" s="27" customFormat="1" ht="24.75" hidden="1" customHeight="1">
      <c r="A46" s="25"/>
      <c r="B46" s="22"/>
      <c r="C46" s="23">
        <v>0</v>
      </c>
      <c r="D46" s="23">
        <v>0</v>
      </c>
      <c r="E46" s="23">
        <v>0</v>
      </c>
      <c r="F46" s="11">
        <v>0</v>
      </c>
      <c r="G46" s="23">
        <v>0</v>
      </c>
      <c r="H46" s="23">
        <v>0</v>
      </c>
      <c r="I46" s="23">
        <v>0</v>
      </c>
      <c r="J46" s="11">
        <v>0</v>
      </c>
      <c r="K46" s="23">
        <v>0</v>
      </c>
      <c r="L46" s="23"/>
      <c r="M46" s="23">
        <v>0</v>
      </c>
      <c r="N46" s="11">
        <v>0</v>
      </c>
      <c r="O46" s="23">
        <v>0</v>
      </c>
      <c r="P46" s="23"/>
      <c r="Q46" s="23"/>
      <c r="R46" s="15">
        <v>0</v>
      </c>
      <c r="S46" s="350"/>
    </row>
    <row r="47" spans="1:84" s="27" customFormat="1" ht="24.75" customHeight="1">
      <c r="A47" s="25"/>
      <c r="B47" s="22" t="s">
        <v>692</v>
      </c>
      <c r="C47" s="23">
        <v>0.10746214599999999</v>
      </c>
      <c r="D47" s="23">
        <v>8.0641306999999995E-2</v>
      </c>
      <c r="E47" s="23">
        <v>1.6333095999999998E-2</v>
      </c>
      <c r="F47" s="11">
        <v>0.20443654899999997</v>
      </c>
      <c r="G47" s="23">
        <v>9.3472720000000002E-3</v>
      </c>
      <c r="H47" s="23">
        <v>0.26959210900000002</v>
      </c>
      <c r="I47" s="23">
        <v>1.465909946</v>
      </c>
      <c r="J47" s="11">
        <v>1.949285876</v>
      </c>
      <c r="K47" s="23">
        <v>1.0031342809999999</v>
      </c>
      <c r="L47" s="23">
        <v>1.1309945830000001</v>
      </c>
      <c r="M47" s="23"/>
      <c r="N47" s="11">
        <v>4.0834147400000003</v>
      </c>
      <c r="O47" s="23"/>
      <c r="P47" s="23"/>
      <c r="Q47" s="23"/>
      <c r="R47" s="15">
        <v>4.0834147400000003</v>
      </c>
      <c r="S47" s="350" t="e">
        <f>+R37+R53:R54</f>
        <v>#VALUE!</v>
      </c>
      <c r="T47" s="338">
        <f>+R45-R47</f>
        <v>38.512924499</v>
      </c>
    </row>
    <row r="48" spans="1:84" ht="24.75" customHeight="1">
      <c r="A48" s="13" t="s">
        <v>59</v>
      </c>
      <c r="B48" s="14" t="s">
        <v>34</v>
      </c>
      <c r="C48" s="15">
        <v>227.263885751</v>
      </c>
      <c r="D48" s="15">
        <v>245.16008911099999</v>
      </c>
      <c r="E48" s="15">
        <v>219.11767420499999</v>
      </c>
      <c r="F48" s="11">
        <v>691.54164906699998</v>
      </c>
      <c r="G48" s="15">
        <v>163.13027307300001</v>
      </c>
      <c r="H48" s="15">
        <v>113.883129897</v>
      </c>
      <c r="I48" s="15">
        <v>112.05479630400001</v>
      </c>
      <c r="J48" s="11">
        <v>1080.6098483410001</v>
      </c>
      <c r="K48" s="15">
        <v>270.352606482</v>
      </c>
      <c r="L48" s="15">
        <v>47.021638164000002</v>
      </c>
      <c r="M48" s="15">
        <v>31.433562310999999</v>
      </c>
      <c r="N48" s="11">
        <v>1429.4176552980002</v>
      </c>
      <c r="O48" s="15">
        <v>96.284326332000006</v>
      </c>
      <c r="P48" s="15">
        <v>0</v>
      </c>
      <c r="Q48" s="15">
        <v>0</v>
      </c>
      <c r="R48" s="15">
        <v>1525.7019816300003</v>
      </c>
      <c r="S48" s="351"/>
    </row>
    <row r="49" spans="1:84" s="27" customFormat="1" ht="24.75" customHeight="1">
      <c r="A49" s="25"/>
      <c r="B49" s="22" t="s">
        <v>60</v>
      </c>
      <c r="C49" s="23">
        <v>123.494419229</v>
      </c>
      <c r="D49" s="23">
        <v>89.647199365999995</v>
      </c>
      <c r="E49" s="23">
        <v>79.049656334000005</v>
      </c>
      <c r="F49" s="11">
        <v>292.19127492900003</v>
      </c>
      <c r="G49" s="23">
        <v>114.308262992</v>
      </c>
      <c r="H49" s="23">
        <v>17.408079150999999</v>
      </c>
      <c r="I49" s="23">
        <v>75.529365861000002</v>
      </c>
      <c r="J49" s="11">
        <v>499.43698293299997</v>
      </c>
      <c r="K49" s="23">
        <v>163.128892014</v>
      </c>
      <c r="L49" s="23">
        <v>20.204430373000001</v>
      </c>
      <c r="M49" s="23">
        <v>23.646700708000001</v>
      </c>
      <c r="N49" s="11">
        <v>706.41700602800006</v>
      </c>
      <c r="O49" s="23">
        <v>81.466249294999997</v>
      </c>
      <c r="P49" s="23">
        <v>0</v>
      </c>
      <c r="Q49" s="23">
        <v>0</v>
      </c>
      <c r="R49" s="15">
        <v>787.88325532300007</v>
      </c>
      <c r="T49" s="338" t="e">
        <f>+R37+R52:R53</f>
        <v>#VALUE!</v>
      </c>
    </row>
    <row r="50" spans="1:84" s="27" customFormat="1" ht="24.75" customHeight="1">
      <c r="A50" s="25"/>
      <c r="B50" s="22" t="s">
        <v>693</v>
      </c>
      <c r="C50" s="23">
        <v>0.47155297750000003</v>
      </c>
      <c r="D50" s="23">
        <v>0.43693320219999998</v>
      </c>
      <c r="E50" s="23">
        <v>0.42891744850000002</v>
      </c>
      <c r="F50" s="11">
        <v>1.3374036282000001</v>
      </c>
      <c r="G50" s="23">
        <v>0.45283053750000002</v>
      </c>
      <c r="H50" s="23">
        <v>0.4535485595</v>
      </c>
      <c r="I50" s="23">
        <v>0.50308123800000004</v>
      </c>
      <c r="J50" s="11">
        <v>2.7468639632000005</v>
      </c>
      <c r="K50" s="23">
        <v>0.47044804699999998</v>
      </c>
      <c r="L50" s="23">
        <v>0.66777840399999999</v>
      </c>
      <c r="M50" s="23">
        <v>0.58741734499999998</v>
      </c>
      <c r="N50" s="11">
        <v>4.4725077592000009</v>
      </c>
      <c r="O50" s="23">
        <v>0.60350271099999997</v>
      </c>
      <c r="P50" s="23"/>
      <c r="Q50" s="23"/>
      <c r="R50" s="15">
        <v>5.0760104702000008</v>
      </c>
      <c r="S50" s="338">
        <f>+R37+R54</f>
        <v>923.84348737000016</v>
      </c>
    </row>
    <row r="51" spans="1:84" s="27" customFormat="1" ht="24.75" customHeight="1">
      <c r="A51" s="25"/>
      <c r="B51" s="22" t="s">
        <v>61</v>
      </c>
      <c r="C51" s="23">
        <v>103.769466522</v>
      </c>
      <c r="D51" s="23">
        <v>155.512889745</v>
      </c>
      <c r="E51" s="23">
        <v>140.068017871</v>
      </c>
      <c r="F51" s="11">
        <v>399.35037413800001</v>
      </c>
      <c r="G51" s="23">
        <v>48.822010081000002</v>
      </c>
      <c r="H51" s="23">
        <v>96.475050745999994</v>
      </c>
      <c r="I51" s="23">
        <v>36.525430442999998</v>
      </c>
      <c r="J51" s="11">
        <v>581.17286540800001</v>
      </c>
      <c r="K51" s="23">
        <v>107.223714468</v>
      </c>
      <c r="L51" s="23">
        <v>26.817207791000001</v>
      </c>
      <c r="M51" s="23">
        <v>7.7868616030000002</v>
      </c>
      <c r="N51" s="11">
        <v>723.00064927000005</v>
      </c>
      <c r="O51" s="23">
        <v>14.818077037</v>
      </c>
      <c r="P51" s="23">
        <v>0</v>
      </c>
      <c r="Q51" s="23">
        <v>0</v>
      </c>
      <c r="R51" s="15">
        <v>737.81872630700002</v>
      </c>
    </row>
    <row r="52" spans="1:84" s="27" customFormat="1" ht="24.75" customHeight="1">
      <c r="A52" s="25"/>
      <c r="B52" s="22" t="s">
        <v>694</v>
      </c>
      <c r="C52" s="23">
        <v>2.84</v>
      </c>
      <c r="D52" s="23">
        <v>3.21</v>
      </c>
      <c r="E52" s="23">
        <v>3.57</v>
      </c>
      <c r="F52" s="11">
        <v>9.6199999999999992</v>
      </c>
      <c r="G52" s="23">
        <v>3.2</v>
      </c>
      <c r="H52" s="23">
        <v>3.75</v>
      </c>
      <c r="I52" s="23">
        <v>4.21</v>
      </c>
      <c r="J52" s="11">
        <v>20.78</v>
      </c>
      <c r="K52" s="23">
        <v>3.48</v>
      </c>
      <c r="L52" s="23">
        <v>3.89</v>
      </c>
      <c r="M52" s="23">
        <v>3.62</v>
      </c>
      <c r="N52" s="11">
        <v>31.770000000000003</v>
      </c>
      <c r="O52" s="23">
        <v>4.5</v>
      </c>
      <c r="P52" s="23"/>
      <c r="Q52" s="23"/>
      <c r="R52" s="15">
        <v>36.270000000000003</v>
      </c>
    </row>
    <row r="53" spans="1:84" s="27" customFormat="1" ht="24.75" customHeight="1">
      <c r="A53" s="25"/>
      <c r="B53" s="22" t="s">
        <v>695</v>
      </c>
      <c r="C53" s="23">
        <v>3.1737103805499998</v>
      </c>
      <c r="D53" s="23">
        <v>5.2485156264499997</v>
      </c>
      <c r="E53" s="23">
        <v>4.4275068895999992</v>
      </c>
      <c r="F53" s="11">
        <v>12.849732896599999</v>
      </c>
      <c r="G53" s="23">
        <v>4.7328691012500004</v>
      </c>
      <c r="H53" s="23">
        <v>4.3683605194499995</v>
      </c>
      <c r="I53" s="23">
        <v>4.9395715841999994</v>
      </c>
      <c r="J53" s="11">
        <v>26.890534101499998</v>
      </c>
      <c r="K53" s="23">
        <v>4.8686827171999996</v>
      </c>
      <c r="L53" s="23">
        <v>5.0802165191999995</v>
      </c>
      <c r="M53" s="23">
        <v>4.7694008239999999</v>
      </c>
      <c r="N53" s="11">
        <v>41.608834161899999</v>
      </c>
      <c r="O53" s="23">
        <v>4.6116761420000003</v>
      </c>
      <c r="P53" s="23"/>
      <c r="Q53" s="23"/>
      <c r="R53" s="15">
        <v>46.220510303899999</v>
      </c>
    </row>
    <row r="54" spans="1:84" s="39" customFormat="1" ht="24.75" customHeight="1">
      <c r="A54" s="13" t="s">
        <v>62</v>
      </c>
      <c r="B54" s="14" t="s">
        <v>63</v>
      </c>
      <c r="C54" s="15">
        <v>2.416644513</v>
      </c>
      <c r="D54" s="15">
        <v>1.6619259559999999</v>
      </c>
      <c r="E54" s="15">
        <v>1.8178978669999999</v>
      </c>
      <c r="F54" s="11">
        <v>5.8964683359999999</v>
      </c>
      <c r="G54" s="15">
        <v>1.6540849419999999</v>
      </c>
      <c r="H54" s="15">
        <v>2.1174347440000001</v>
      </c>
      <c r="I54" s="15">
        <v>2.2686152869999998</v>
      </c>
      <c r="J54" s="11">
        <v>11.936603308999999</v>
      </c>
      <c r="K54" s="15">
        <v>2.4334861069999998</v>
      </c>
      <c r="L54" s="15">
        <v>2.0630077139999998</v>
      </c>
      <c r="M54" s="15">
        <v>1.446407832</v>
      </c>
      <c r="N54" s="11">
        <v>17.879504961999999</v>
      </c>
      <c r="O54" s="15">
        <v>4.0560319539999998</v>
      </c>
      <c r="P54" s="15">
        <v>0</v>
      </c>
      <c r="Q54" s="15">
        <v>0</v>
      </c>
      <c r="R54" s="15">
        <v>21.935536915999997</v>
      </c>
      <c r="S54" s="352"/>
      <c r="T54" s="352"/>
    </row>
    <row r="55" spans="1:84" ht="24.75" customHeight="1">
      <c r="A55" s="13" t="s">
        <v>64</v>
      </c>
      <c r="B55" s="14" t="s">
        <v>65</v>
      </c>
      <c r="C55" s="15">
        <v>29.754920873</v>
      </c>
      <c r="D55" s="15">
        <v>2.2768545119999999</v>
      </c>
      <c r="E55" s="15">
        <v>22.516077228</v>
      </c>
      <c r="F55" s="11">
        <v>54.547852613000003</v>
      </c>
      <c r="G55" s="15">
        <v>40.378025600000001</v>
      </c>
      <c r="H55" s="15">
        <v>5.9072278230000004</v>
      </c>
      <c r="I55" s="15">
        <v>2.888769178</v>
      </c>
      <c r="J55" s="11">
        <v>103.72187521400001</v>
      </c>
      <c r="K55" s="15">
        <v>18.260485505999998</v>
      </c>
      <c r="L55" s="15">
        <v>2.1974671180000001</v>
      </c>
      <c r="M55" s="15">
        <v>4.0677178400000003</v>
      </c>
      <c r="N55" s="11">
        <v>128.24754567799999</v>
      </c>
      <c r="O55" s="15">
        <v>2.8325166610000001</v>
      </c>
      <c r="P55" s="15">
        <v>0</v>
      </c>
      <c r="Q55" s="15">
        <v>0</v>
      </c>
      <c r="R55" s="15">
        <v>131.08006233899999</v>
      </c>
      <c r="S55" s="353"/>
      <c r="T55" s="9"/>
    </row>
    <row r="56" spans="1:84" ht="24.75" customHeight="1">
      <c r="A56" s="13"/>
      <c r="B56" s="14" t="s">
        <v>66</v>
      </c>
      <c r="C56" s="15">
        <v>29.754920873</v>
      </c>
      <c r="D56" s="15">
        <v>2.2768545119999999</v>
      </c>
      <c r="E56" s="15">
        <v>22.516077228</v>
      </c>
      <c r="F56" s="11">
        <v>54.547852613000003</v>
      </c>
      <c r="G56" s="15">
        <v>40.378025600000001</v>
      </c>
      <c r="H56" s="15">
        <v>5.9072278230000004</v>
      </c>
      <c r="I56" s="15">
        <v>2.888769178</v>
      </c>
      <c r="J56" s="11">
        <v>103.72187521400001</v>
      </c>
      <c r="K56" s="15">
        <v>18.260485505999998</v>
      </c>
      <c r="L56" s="15">
        <v>2.1974671180000001</v>
      </c>
      <c r="M56" s="15">
        <v>4.0677178400000003</v>
      </c>
      <c r="N56" s="11">
        <v>128.24754567799999</v>
      </c>
      <c r="O56" s="15">
        <v>2.8325166610000001</v>
      </c>
      <c r="P56" s="15">
        <v>0</v>
      </c>
      <c r="Q56" s="15">
        <v>0</v>
      </c>
      <c r="R56" s="15">
        <v>131.08006233899999</v>
      </c>
    </row>
    <row r="57" spans="1:84" s="27" customFormat="1" ht="24.75" customHeight="1">
      <c r="A57" s="25"/>
      <c r="B57" s="22" t="s">
        <v>67</v>
      </c>
      <c r="C57" s="23">
        <v>18.817298849</v>
      </c>
      <c r="D57" s="23">
        <v>0.1361</v>
      </c>
      <c r="E57" s="23">
        <v>16.144188750000001</v>
      </c>
      <c r="F57" s="11">
        <v>35.097587599000001</v>
      </c>
      <c r="G57" s="23">
        <v>14.176460000000001</v>
      </c>
      <c r="H57" s="23">
        <v>2.4859162499999998</v>
      </c>
      <c r="I57" s="23">
        <v>0.73710200000000003</v>
      </c>
      <c r="J57" s="11">
        <v>52.497065849000002</v>
      </c>
      <c r="K57" s="23">
        <v>5.8377179999999997</v>
      </c>
      <c r="L57" s="23">
        <v>0.18898000000000001</v>
      </c>
      <c r="M57" s="23">
        <v>0.21640000000000001</v>
      </c>
      <c r="N57" s="11">
        <v>58.740163849000005</v>
      </c>
      <c r="O57" s="23">
        <v>1.79843475</v>
      </c>
      <c r="P57" s="23">
        <v>0</v>
      </c>
      <c r="Q57" s="23">
        <v>0</v>
      </c>
      <c r="R57" s="23">
        <v>60.538598599000004</v>
      </c>
    </row>
    <row r="58" spans="1:84" s="27" customFormat="1" ht="24.75" customHeight="1">
      <c r="A58" s="25"/>
      <c r="B58" s="22" t="s">
        <v>68</v>
      </c>
      <c r="C58" s="23">
        <v>10.073067494</v>
      </c>
      <c r="D58" s="23">
        <v>0</v>
      </c>
      <c r="E58" s="23">
        <v>0</v>
      </c>
      <c r="F58" s="11">
        <v>10.073067494</v>
      </c>
      <c r="G58" s="23">
        <v>21.215469520999999</v>
      </c>
      <c r="H58" s="23">
        <v>0</v>
      </c>
      <c r="I58" s="23">
        <v>0</v>
      </c>
      <c r="J58" s="11">
        <v>31.288537014999999</v>
      </c>
      <c r="K58" s="23">
        <v>10.182892950999999</v>
      </c>
      <c r="L58" s="23">
        <v>0</v>
      </c>
      <c r="M58" s="23">
        <v>0</v>
      </c>
      <c r="N58" s="11">
        <v>41.471429966000002</v>
      </c>
      <c r="O58" s="23">
        <v>0</v>
      </c>
      <c r="P58" s="23">
        <v>0</v>
      </c>
      <c r="Q58" s="23">
        <v>0</v>
      </c>
      <c r="R58" s="23">
        <v>41.471429966000002</v>
      </c>
    </row>
    <row r="59" spans="1:84" s="27" customFormat="1" ht="24.75" customHeight="1">
      <c r="A59" s="25"/>
      <c r="B59" s="22" t="s">
        <v>69</v>
      </c>
      <c r="C59" s="23">
        <v>0</v>
      </c>
      <c r="D59" s="23">
        <v>0</v>
      </c>
      <c r="E59" s="23">
        <v>4.99E-2</v>
      </c>
      <c r="F59" s="11">
        <v>4.99E-2</v>
      </c>
      <c r="G59" s="23">
        <v>1.0712299999999999</v>
      </c>
      <c r="H59" s="23">
        <v>0.12590599999999999</v>
      </c>
      <c r="I59" s="23">
        <v>1.4455000000000001E-2</v>
      </c>
      <c r="J59" s="11">
        <v>1.2614910000000001</v>
      </c>
      <c r="K59" s="23">
        <v>0</v>
      </c>
      <c r="L59" s="23">
        <v>0.09</v>
      </c>
      <c r="M59" s="23">
        <v>2.5</v>
      </c>
      <c r="N59" s="11">
        <v>3.8514910000000002</v>
      </c>
      <c r="O59" s="23">
        <v>9.9296999999999996E-2</v>
      </c>
      <c r="P59" s="23">
        <v>0</v>
      </c>
      <c r="Q59" s="23">
        <v>0</v>
      </c>
      <c r="R59" s="23">
        <v>3.9507880000000002</v>
      </c>
    </row>
    <row r="60" spans="1:84" ht="24.75" customHeight="1">
      <c r="A60" s="13"/>
      <c r="B60" s="14" t="s">
        <v>70</v>
      </c>
      <c r="C60" s="15">
        <v>0</v>
      </c>
      <c r="D60" s="15">
        <v>0</v>
      </c>
      <c r="E60" s="15">
        <v>0</v>
      </c>
      <c r="F60" s="11">
        <v>0</v>
      </c>
      <c r="G60" s="15">
        <v>0</v>
      </c>
      <c r="H60" s="15">
        <v>0</v>
      </c>
      <c r="I60" s="15">
        <v>0</v>
      </c>
      <c r="J60" s="11">
        <v>0</v>
      </c>
      <c r="K60" s="15">
        <v>0</v>
      </c>
      <c r="L60" s="15">
        <v>0</v>
      </c>
      <c r="M60" s="15">
        <v>0</v>
      </c>
      <c r="N60" s="11">
        <v>0</v>
      </c>
      <c r="O60" s="15">
        <v>0</v>
      </c>
      <c r="P60" s="15">
        <v>0</v>
      </c>
      <c r="Q60" s="15">
        <v>0</v>
      </c>
      <c r="R60" s="15">
        <v>0</v>
      </c>
      <c r="X60" s="9"/>
    </row>
    <row r="61" spans="1:84" s="27" customFormat="1" ht="24.75" customHeight="1">
      <c r="A61" s="25"/>
      <c r="B61" s="22" t="s">
        <v>71</v>
      </c>
      <c r="C61" s="15">
        <v>0</v>
      </c>
      <c r="D61" s="15">
        <v>0</v>
      </c>
      <c r="E61" s="15">
        <v>0</v>
      </c>
      <c r="F61" s="11">
        <v>0</v>
      </c>
      <c r="G61" s="15">
        <v>0</v>
      </c>
      <c r="H61" s="15">
        <v>0</v>
      </c>
      <c r="I61" s="15">
        <v>0</v>
      </c>
      <c r="J61" s="11">
        <v>0</v>
      </c>
      <c r="K61" s="15">
        <v>0</v>
      </c>
      <c r="L61" s="15">
        <v>0</v>
      </c>
      <c r="M61" s="15">
        <v>0</v>
      </c>
      <c r="N61" s="11">
        <v>0</v>
      </c>
      <c r="O61" s="15">
        <v>0</v>
      </c>
      <c r="P61" s="15">
        <v>0</v>
      </c>
      <c r="Q61" s="15">
        <v>0</v>
      </c>
      <c r="R61" s="15">
        <v>0</v>
      </c>
    </row>
    <row r="62" spans="1:84" s="27" customFormat="1" ht="24.75" customHeight="1">
      <c r="A62" s="25"/>
      <c r="B62" s="22" t="s">
        <v>72</v>
      </c>
      <c r="C62" s="15">
        <v>0</v>
      </c>
      <c r="D62" s="15">
        <v>0</v>
      </c>
      <c r="E62" s="15">
        <v>0</v>
      </c>
      <c r="F62" s="11">
        <v>0</v>
      </c>
      <c r="G62" s="15">
        <v>0</v>
      </c>
      <c r="H62" s="15">
        <v>0</v>
      </c>
      <c r="I62" s="15">
        <v>0</v>
      </c>
      <c r="J62" s="11">
        <v>0</v>
      </c>
      <c r="K62" s="15">
        <v>0</v>
      </c>
      <c r="L62" s="15">
        <v>0</v>
      </c>
      <c r="M62" s="15">
        <v>0</v>
      </c>
      <c r="N62" s="11">
        <v>0</v>
      </c>
      <c r="O62" s="15">
        <v>0</v>
      </c>
      <c r="P62" s="15">
        <v>0</v>
      </c>
      <c r="Q62" s="15">
        <v>0</v>
      </c>
      <c r="R62" s="15">
        <v>0</v>
      </c>
    </row>
    <row r="63" spans="1:84" s="12" customFormat="1" ht="24.75" customHeight="1">
      <c r="A63" s="17" t="s">
        <v>73</v>
      </c>
      <c r="B63" s="40" t="s">
        <v>74</v>
      </c>
      <c r="C63" s="11">
        <v>-195.03763504865682</v>
      </c>
      <c r="D63" s="11">
        <v>-116.52292245292659</v>
      </c>
      <c r="E63" s="11">
        <v>-202.46428714653695</v>
      </c>
      <c r="F63" s="11">
        <v>-514.02484464812028</v>
      </c>
      <c r="G63" s="11">
        <v>-58.006231998119972</v>
      </c>
      <c r="H63" s="11">
        <v>41.251185858944382</v>
      </c>
      <c r="I63" s="11">
        <v>38.758278502444398</v>
      </c>
      <c r="J63" s="11">
        <v>-492.02161228485153</v>
      </c>
      <c r="K63" s="11">
        <v>-188.45490060632505</v>
      </c>
      <c r="L63" s="11">
        <v>80.104416882469991</v>
      </c>
      <c r="M63" s="11">
        <v>105.23936418892995</v>
      </c>
      <c r="N63" s="11">
        <v>-495.13273181977661</v>
      </c>
      <c r="O63" s="11">
        <v>20.462115906000008</v>
      </c>
      <c r="P63" s="11">
        <v>0</v>
      </c>
      <c r="Q63" s="11">
        <v>0</v>
      </c>
      <c r="R63" s="11">
        <v>-474.6706159137766</v>
      </c>
      <c r="S63"/>
      <c r="T63" s="9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</row>
    <row r="64" spans="1:84" s="12" customFormat="1" ht="24.75" customHeight="1">
      <c r="A64" s="17" t="s">
        <v>75</v>
      </c>
      <c r="B64" s="40" t="s">
        <v>76</v>
      </c>
      <c r="C64" s="11">
        <v>-195.03763504865682</v>
      </c>
      <c r="D64" s="11">
        <v>-116.52292245292659</v>
      </c>
      <c r="E64" s="11">
        <v>-202.46428714653695</v>
      </c>
      <c r="F64" s="11">
        <v>-514.02484464812028</v>
      </c>
      <c r="G64" s="11">
        <v>-58.006231998119972</v>
      </c>
      <c r="H64" s="11">
        <v>41.251185858944382</v>
      </c>
      <c r="I64" s="11">
        <v>38.758278502444398</v>
      </c>
      <c r="J64" s="11">
        <v>-492.02161228485153</v>
      </c>
      <c r="K64" s="11">
        <v>-188.45490060632505</v>
      </c>
      <c r="L64" s="11">
        <v>80.104416882469991</v>
      </c>
      <c r="M64" s="11">
        <v>105.23936418892995</v>
      </c>
      <c r="N64" s="11">
        <v>-495.13273181977661</v>
      </c>
      <c r="O64" s="11">
        <v>20.462115906000008</v>
      </c>
      <c r="P64" s="11">
        <v>0</v>
      </c>
      <c r="Q64" s="11">
        <v>0</v>
      </c>
      <c r="R64" s="11">
        <v>-474.6706159137766</v>
      </c>
      <c r="S64" s="35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</row>
    <row r="65" spans="1:84" s="36" customFormat="1" ht="35.25" customHeight="1">
      <c r="A65" s="7"/>
      <c r="B65" s="8" t="s">
        <v>77</v>
      </c>
      <c r="C65" s="41"/>
      <c r="D65" s="41"/>
      <c r="E65" s="41"/>
      <c r="F65" s="11">
        <v>0</v>
      </c>
      <c r="G65" s="41"/>
      <c r="H65" s="41"/>
      <c r="I65" s="41"/>
      <c r="J65" s="11">
        <v>0</v>
      </c>
      <c r="K65" s="41"/>
      <c r="L65" s="41"/>
      <c r="M65" s="41"/>
      <c r="N65" s="11">
        <v>0</v>
      </c>
      <c r="O65" s="41"/>
      <c r="P65" s="41"/>
      <c r="Q65" s="41"/>
      <c r="R65" s="41"/>
    </row>
    <row r="66" spans="1:84" ht="24.75" customHeight="1">
      <c r="A66" s="7" t="s">
        <v>78</v>
      </c>
      <c r="B66" s="10" t="s">
        <v>79</v>
      </c>
      <c r="C66" s="11">
        <v>58.671100050333344</v>
      </c>
      <c r="D66" s="11">
        <v>79.695605905333295</v>
      </c>
      <c r="E66" s="11">
        <v>88.299468260333299</v>
      </c>
      <c r="F66" s="11">
        <v>226.66617421599994</v>
      </c>
      <c r="G66" s="11">
        <v>50.805186179066695</v>
      </c>
      <c r="H66" s="11">
        <v>-17.81024866988556</v>
      </c>
      <c r="I66" s="11">
        <v>19.736687614444442</v>
      </c>
      <c r="J66" s="11">
        <v>279.39779933962558</v>
      </c>
      <c r="K66" s="11">
        <v>82.829301395443906</v>
      </c>
      <c r="L66" s="11">
        <v>75.731287981443927</v>
      </c>
      <c r="M66" s="11">
        <v>26.258685202943891</v>
      </c>
      <c r="N66" s="11">
        <v>464.21707391945728</v>
      </c>
      <c r="O66" s="11">
        <v>24.893461526939998</v>
      </c>
      <c r="P66" s="11">
        <v>0</v>
      </c>
      <c r="Q66" s="11">
        <v>0</v>
      </c>
      <c r="R66" s="11">
        <v>489.11053544639725</v>
      </c>
      <c r="S66" s="9"/>
      <c r="T66" s="9"/>
    </row>
    <row r="67" spans="1:84" ht="24.75" customHeight="1">
      <c r="A67" s="13" t="s">
        <v>80</v>
      </c>
      <c r="B67" s="14" t="s">
        <v>81</v>
      </c>
      <c r="C67" s="15">
        <v>58.671100050333337</v>
      </c>
      <c r="D67" s="15">
        <v>79.695605905333295</v>
      </c>
      <c r="E67" s="15">
        <v>88.299468260333299</v>
      </c>
      <c r="F67" s="11">
        <v>226.66617421599994</v>
      </c>
      <c r="G67" s="15">
        <v>50.805186179066695</v>
      </c>
      <c r="H67" s="15">
        <v>52.18975133011444</v>
      </c>
      <c r="I67" s="15">
        <v>38.721725114444446</v>
      </c>
      <c r="J67" s="11">
        <v>368.38283683962555</v>
      </c>
      <c r="K67" s="15">
        <v>82.778495720443914</v>
      </c>
      <c r="L67" s="15">
        <v>75.687118953443914</v>
      </c>
      <c r="M67" s="15">
        <v>26.219265202943895</v>
      </c>
      <c r="N67" s="11">
        <v>553.06771671645731</v>
      </c>
      <c r="O67" s="15">
        <v>24.88946152694</v>
      </c>
      <c r="P67" s="15">
        <v>0</v>
      </c>
      <c r="Q67" s="15">
        <v>0</v>
      </c>
      <c r="R67" s="15">
        <v>577.95717824339727</v>
      </c>
      <c r="T67" s="9"/>
    </row>
    <row r="68" spans="1:84" s="27" customFormat="1" ht="24.75" customHeight="1">
      <c r="A68" s="25"/>
      <c r="B68" s="22" t="s">
        <v>82</v>
      </c>
      <c r="C68" s="23">
        <v>7.8377667170000009</v>
      </c>
      <c r="D68" s="23">
        <v>8.2622725720000005</v>
      </c>
      <c r="E68" s="23">
        <v>6.1661349270000017</v>
      </c>
      <c r="F68" s="11">
        <v>22.266174216000003</v>
      </c>
      <c r="G68" s="23">
        <v>12.494075068000001</v>
      </c>
      <c r="H68" s="23">
        <v>7.9036402189999961</v>
      </c>
      <c r="I68" s="23">
        <v>7.985614003000002</v>
      </c>
      <c r="J68" s="11">
        <v>50.649503506000002</v>
      </c>
      <c r="K68" s="23">
        <v>13.234051276000002</v>
      </c>
      <c r="L68" s="23">
        <v>6.1426745090000026</v>
      </c>
      <c r="M68" s="23">
        <v>5.1192652030000012</v>
      </c>
      <c r="N68" s="11">
        <v>75.145494494000005</v>
      </c>
      <c r="O68" s="23">
        <v>3.7894615270000003</v>
      </c>
      <c r="P68" s="23">
        <v>0</v>
      </c>
      <c r="Q68" s="23">
        <v>0</v>
      </c>
      <c r="R68" s="23">
        <v>78.934956021000005</v>
      </c>
      <c r="S68" s="355"/>
      <c r="T68" s="338"/>
    </row>
    <row r="69" spans="1:84" s="27" customFormat="1" ht="24.75" hidden="1" customHeight="1">
      <c r="A69" s="25"/>
      <c r="B69" s="43" t="s">
        <v>83</v>
      </c>
      <c r="C69" s="23"/>
      <c r="D69" s="23"/>
      <c r="E69" s="23"/>
      <c r="F69" s="11">
        <v>0</v>
      </c>
      <c r="G69" s="23"/>
      <c r="H69" s="23"/>
      <c r="I69" s="23"/>
      <c r="J69" s="11">
        <v>0</v>
      </c>
      <c r="K69" s="23"/>
      <c r="L69" s="23"/>
      <c r="M69" s="23"/>
      <c r="N69" s="11">
        <v>0</v>
      </c>
      <c r="O69" s="23"/>
      <c r="P69" s="23"/>
      <c r="Q69" s="23"/>
      <c r="R69" s="23">
        <v>0</v>
      </c>
      <c r="U69" s="338"/>
    </row>
    <row r="70" spans="1:84" s="27" customFormat="1" ht="24.75" customHeight="1">
      <c r="A70" s="25"/>
      <c r="B70" s="43" t="s">
        <v>84</v>
      </c>
      <c r="C70" s="23">
        <v>50.833333333333336</v>
      </c>
      <c r="D70" s="23">
        <v>71.433333333333294</v>
      </c>
      <c r="E70" s="23">
        <v>82.133333333333297</v>
      </c>
      <c r="F70" s="11">
        <v>204.39999999999992</v>
      </c>
      <c r="G70" s="23">
        <v>38.311111111066694</v>
      </c>
      <c r="H70" s="23">
        <v>44.286111111114444</v>
      </c>
      <c r="I70" s="23">
        <v>30.736111111444444</v>
      </c>
      <c r="J70" s="11">
        <v>317.73333333362552</v>
      </c>
      <c r="K70" s="23">
        <v>69.544444444443911</v>
      </c>
      <c r="L70" s="23">
        <v>69.544444444443911</v>
      </c>
      <c r="M70" s="23">
        <v>21.099999999943893</v>
      </c>
      <c r="N70" s="11">
        <v>477.92222222245726</v>
      </c>
      <c r="O70" s="23">
        <v>21.09999999994</v>
      </c>
      <c r="P70" s="23">
        <v>0</v>
      </c>
      <c r="Q70" s="23">
        <v>0</v>
      </c>
      <c r="R70" s="23">
        <v>499.02222222239726</v>
      </c>
      <c r="S70" s="338"/>
      <c r="T70" s="338"/>
    </row>
    <row r="71" spans="1:84" ht="24.75" customHeight="1">
      <c r="A71" s="13" t="s">
        <v>85</v>
      </c>
      <c r="B71" s="14" t="s">
        <v>86</v>
      </c>
      <c r="C71" s="15">
        <v>0</v>
      </c>
      <c r="D71" s="15">
        <v>0</v>
      </c>
      <c r="E71" s="15">
        <v>0</v>
      </c>
      <c r="F71" s="11">
        <v>0</v>
      </c>
      <c r="G71" s="15">
        <v>0</v>
      </c>
      <c r="H71" s="15">
        <v>0</v>
      </c>
      <c r="I71" s="15">
        <v>1.0149625</v>
      </c>
      <c r="J71" s="11">
        <v>1.0149625</v>
      </c>
      <c r="K71" s="15">
        <v>4.1305675E-2</v>
      </c>
      <c r="L71" s="15">
        <v>3.9169028000000002E-2</v>
      </c>
      <c r="M71" s="15">
        <v>3.737E-2</v>
      </c>
      <c r="N71" s="11">
        <v>1.132807203</v>
      </c>
      <c r="O71" s="15">
        <v>0</v>
      </c>
      <c r="P71" s="15">
        <v>0</v>
      </c>
      <c r="Q71" s="15">
        <v>0</v>
      </c>
      <c r="R71" s="15">
        <v>1.132807203</v>
      </c>
      <c r="T71" s="9"/>
    </row>
    <row r="72" spans="1:84" ht="24.75" customHeight="1">
      <c r="A72" s="13" t="s">
        <v>87</v>
      </c>
      <c r="B72" s="14" t="s">
        <v>88</v>
      </c>
      <c r="C72" s="15">
        <v>0</v>
      </c>
      <c r="D72" s="15">
        <v>0</v>
      </c>
      <c r="E72" s="15">
        <v>0</v>
      </c>
      <c r="F72" s="11">
        <v>0</v>
      </c>
      <c r="G72" s="15">
        <v>0</v>
      </c>
      <c r="H72" s="15">
        <v>0</v>
      </c>
      <c r="I72" s="15">
        <v>0</v>
      </c>
      <c r="J72" s="11">
        <v>0</v>
      </c>
      <c r="K72" s="15">
        <v>9.4999999999999998E-3</v>
      </c>
      <c r="L72" s="15">
        <v>5.0000000000000001E-3</v>
      </c>
      <c r="M72" s="15">
        <v>2.0500000000000002E-3</v>
      </c>
      <c r="N72" s="11">
        <v>1.6549999999999999E-2</v>
      </c>
      <c r="O72" s="15">
        <v>4.0000000000000001E-3</v>
      </c>
      <c r="P72" s="15">
        <v>0</v>
      </c>
      <c r="Q72" s="15">
        <v>0</v>
      </c>
      <c r="R72" s="15">
        <v>2.0549999999999999E-2</v>
      </c>
      <c r="S72" s="9"/>
      <c r="T72" s="9"/>
      <c r="U72" s="9"/>
    </row>
    <row r="73" spans="1:84" ht="24.75" customHeight="1">
      <c r="A73" s="13" t="s">
        <v>89</v>
      </c>
      <c r="B73" s="14" t="s">
        <v>90</v>
      </c>
      <c r="C73" s="15">
        <v>0</v>
      </c>
      <c r="D73" s="15">
        <v>0</v>
      </c>
      <c r="E73" s="15">
        <v>0</v>
      </c>
      <c r="F73" s="11">
        <v>0</v>
      </c>
      <c r="G73" s="15">
        <v>0</v>
      </c>
      <c r="H73" s="15">
        <v>0</v>
      </c>
      <c r="I73" s="15">
        <v>0</v>
      </c>
      <c r="J73" s="11">
        <v>0</v>
      </c>
      <c r="K73" s="15">
        <v>0</v>
      </c>
      <c r="L73" s="15">
        <v>0</v>
      </c>
      <c r="M73" s="15">
        <v>0</v>
      </c>
      <c r="N73" s="11">
        <v>0</v>
      </c>
      <c r="O73" s="15">
        <v>0</v>
      </c>
      <c r="P73" s="15">
        <v>0</v>
      </c>
      <c r="Q73" s="15">
        <v>0</v>
      </c>
      <c r="R73" s="15">
        <v>0</v>
      </c>
      <c r="T73" s="9"/>
      <c r="U73" s="9"/>
    </row>
    <row r="74" spans="1:84" ht="24.75" customHeight="1">
      <c r="A74" s="13"/>
      <c r="B74" s="14" t="s">
        <v>696</v>
      </c>
      <c r="C74" s="15"/>
      <c r="D74" s="15"/>
      <c r="E74" s="15"/>
      <c r="F74" s="11">
        <v>0</v>
      </c>
      <c r="G74" s="15"/>
      <c r="H74" s="15">
        <v>-70</v>
      </c>
      <c r="I74" s="15">
        <v>-20</v>
      </c>
      <c r="J74" s="11">
        <v>-90</v>
      </c>
      <c r="K74" s="15"/>
      <c r="L74" s="15"/>
      <c r="M74" s="15"/>
      <c r="N74" s="11">
        <v>-90</v>
      </c>
      <c r="O74" s="15"/>
      <c r="P74" s="15"/>
      <c r="Q74" s="15"/>
      <c r="R74" s="15">
        <v>-90</v>
      </c>
      <c r="T74" s="9"/>
      <c r="U74" s="9"/>
    </row>
    <row r="75" spans="1:84" s="46" customFormat="1" ht="24.75" customHeight="1">
      <c r="A75" s="17" t="s">
        <v>91</v>
      </c>
      <c r="B75" s="44" t="s">
        <v>92</v>
      </c>
      <c r="C75" s="45">
        <v>-253.70873509899016</v>
      </c>
      <c r="D75" s="45">
        <v>-196.2185283582599</v>
      </c>
      <c r="E75" s="45">
        <v>-290.76375540687025</v>
      </c>
      <c r="F75" s="11">
        <v>-740.69101886412034</v>
      </c>
      <c r="G75" s="45">
        <v>-108.81141817718667</v>
      </c>
      <c r="H75" s="45">
        <v>59.061434528829942</v>
      </c>
      <c r="I75" s="45">
        <v>19.021590887999956</v>
      </c>
      <c r="J75" s="11">
        <v>-771.41941162447699</v>
      </c>
      <c r="K75" s="45">
        <v>-271.28420200176896</v>
      </c>
      <c r="L75" s="45">
        <v>4.3731289010260639</v>
      </c>
      <c r="M75" s="45">
        <v>78.98067898598606</v>
      </c>
      <c r="N75" s="11">
        <v>-959.34980573923372</v>
      </c>
      <c r="O75" s="45">
        <v>-4.4313456209399895</v>
      </c>
      <c r="P75" s="45">
        <v>0</v>
      </c>
      <c r="Q75" s="45">
        <v>0</v>
      </c>
      <c r="R75" s="45">
        <v>-963.78115136017391</v>
      </c>
      <c r="S75" s="356"/>
      <c r="T75" s="357"/>
      <c r="U75" s="358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</row>
    <row r="76" spans="1:84" s="36" customFormat="1" ht="36.75" customHeight="1">
      <c r="A76" s="47"/>
      <c r="B76" s="48" t="s">
        <v>93</v>
      </c>
      <c r="C76" s="49"/>
      <c r="D76" s="49"/>
      <c r="E76" s="49"/>
      <c r="F76" s="11">
        <v>0</v>
      </c>
      <c r="G76" s="49"/>
      <c r="H76" s="49"/>
      <c r="I76" s="49"/>
      <c r="J76" s="11">
        <v>0</v>
      </c>
      <c r="K76" s="49"/>
      <c r="L76" s="49"/>
      <c r="M76" s="49"/>
      <c r="N76" s="11">
        <v>0</v>
      </c>
      <c r="O76" s="49"/>
      <c r="P76" s="49"/>
      <c r="Q76" s="49"/>
      <c r="R76" s="49"/>
      <c r="S76" s="345"/>
      <c r="T76" s="345"/>
      <c r="U76" s="345"/>
    </row>
    <row r="77" spans="1:84" ht="24.75" customHeight="1">
      <c r="A77" s="7" t="s">
        <v>94</v>
      </c>
      <c r="B77" s="10" t="s">
        <v>95</v>
      </c>
      <c r="C77" s="11">
        <v>109.196214131</v>
      </c>
      <c r="D77" s="11">
        <v>120.21106104099999</v>
      </c>
      <c r="E77" s="11">
        <v>-245.92913694200001</v>
      </c>
      <c r="F77" s="11">
        <v>-16.521861770000015</v>
      </c>
      <c r="G77" s="11">
        <v>36.455613878000001</v>
      </c>
      <c r="H77" s="11">
        <v>0.75687575699999998</v>
      </c>
      <c r="I77" s="11">
        <v>289.63661188999998</v>
      </c>
      <c r="J77" s="11">
        <v>310.32723975499999</v>
      </c>
      <c r="K77" s="11">
        <v>-98.436132827999998</v>
      </c>
      <c r="L77" s="11">
        <v>-10.676140981</v>
      </c>
      <c r="M77" s="11">
        <v>8.0318252490000006</v>
      </c>
      <c r="N77" s="11">
        <v>209.24679119500001</v>
      </c>
      <c r="O77" s="11">
        <v>61.586765016999998</v>
      </c>
      <c r="P77" s="11">
        <v>0</v>
      </c>
      <c r="Q77" s="11">
        <v>0</v>
      </c>
      <c r="R77" s="11">
        <v>270.83355621200002</v>
      </c>
      <c r="S77" s="9"/>
      <c r="T77" s="359"/>
      <c r="U77" s="9"/>
    </row>
    <row r="78" spans="1:84" ht="24.75" customHeight="1">
      <c r="A78" s="13" t="s">
        <v>96</v>
      </c>
      <c r="B78" s="14" t="s">
        <v>97</v>
      </c>
      <c r="C78" s="15">
        <v>109.196214131</v>
      </c>
      <c r="D78" s="15">
        <v>120.21106104099999</v>
      </c>
      <c r="E78" s="15">
        <v>-245.92913694200001</v>
      </c>
      <c r="F78" s="11">
        <v>-16.521861770000015</v>
      </c>
      <c r="G78" s="15">
        <v>36.455613878000001</v>
      </c>
      <c r="H78" s="15">
        <v>0.75687575699999998</v>
      </c>
      <c r="I78" s="15">
        <v>289.63661188999998</v>
      </c>
      <c r="J78" s="11">
        <v>310.32723975499999</v>
      </c>
      <c r="K78" s="15">
        <v>-98.436132827999998</v>
      </c>
      <c r="L78" s="15">
        <v>-10.676140981</v>
      </c>
      <c r="M78" s="15">
        <v>8.0318252490000006</v>
      </c>
      <c r="N78" s="11">
        <v>209.24679119500001</v>
      </c>
      <c r="O78" s="15">
        <v>61.586765016999998</v>
      </c>
      <c r="P78" s="15">
        <v>0</v>
      </c>
      <c r="Q78" s="15">
        <v>0</v>
      </c>
      <c r="R78" s="15">
        <v>270.83355621200002</v>
      </c>
      <c r="S78" s="360"/>
      <c r="T78" s="361"/>
    </row>
    <row r="79" spans="1:84" s="27" customFormat="1" ht="24.75" customHeight="1">
      <c r="A79" s="25"/>
      <c r="B79" s="22" t="s">
        <v>98</v>
      </c>
      <c r="C79" s="23">
        <v>112.690575408</v>
      </c>
      <c r="D79" s="23">
        <v>120.135226262</v>
      </c>
      <c r="E79" s="23">
        <v>-250.26282773</v>
      </c>
      <c r="F79" s="11">
        <v>-17.437026059999994</v>
      </c>
      <c r="G79" s="23">
        <v>38.278709327999998</v>
      </c>
      <c r="H79" s="23">
        <v>-4.7062957389999998</v>
      </c>
      <c r="I79" s="23">
        <v>275.90045116300001</v>
      </c>
      <c r="J79" s="11">
        <v>292.03583869200003</v>
      </c>
      <c r="K79" s="23">
        <v>-286.092464135</v>
      </c>
      <c r="L79" s="23">
        <v>-68.675802126999997</v>
      </c>
      <c r="M79" s="23">
        <v>9.7644272900000004</v>
      </c>
      <c r="N79" s="11">
        <v>-52.96800027999997</v>
      </c>
      <c r="O79" s="23">
        <v>25.054487802000001</v>
      </c>
      <c r="P79" s="23">
        <v>0</v>
      </c>
      <c r="Q79" s="23">
        <v>0</v>
      </c>
      <c r="R79" s="23">
        <v>-27.913512477999969</v>
      </c>
      <c r="S79" s="338"/>
      <c r="T79" s="338"/>
      <c r="U79" s="338"/>
    </row>
    <row r="80" spans="1:84" s="27" customFormat="1" ht="24.75" customHeight="1">
      <c r="A80" s="25"/>
      <c r="B80" s="22" t="s">
        <v>99</v>
      </c>
      <c r="C80" s="23">
        <v>0</v>
      </c>
      <c r="D80" s="23">
        <v>0</v>
      </c>
      <c r="E80" s="23">
        <v>0</v>
      </c>
      <c r="F80" s="11">
        <v>0</v>
      </c>
      <c r="G80" s="23">
        <v>0</v>
      </c>
      <c r="H80" s="23">
        <v>0</v>
      </c>
      <c r="I80" s="23">
        <v>0</v>
      </c>
      <c r="J80" s="11">
        <v>0</v>
      </c>
      <c r="K80" s="23">
        <v>0</v>
      </c>
      <c r="L80" s="23">
        <v>0</v>
      </c>
      <c r="M80" s="23">
        <v>0</v>
      </c>
      <c r="N80" s="11">
        <v>0</v>
      </c>
      <c r="O80" s="23">
        <v>0</v>
      </c>
      <c r="P80" s="23">
        <v>0</v>
      </c>
      <c r="Q80" s="23">
        <v>0</v>
      </c>
      <c r="R80" s="23">
        <v>0</v>
      </c>
      <c r="T80" s="338"/>
      <c r="U80" s="338"/>
    </row>
    <row r="81" spans="1:20" s="27" customFormat="1" ht="24.75" customHeight="1">
      <c r="A81" s="25"/>
      <c r="B81" s="22" t="s">
        <v>100</v>
      </c>
      <c r="C81" s="23">
        <v>-0.30197042600000001</v>
      </c>
      <c r="D81" s="23">
        <v>-0.30439171500000001</v>
      </c>
      <c r="E81" s="23">
        <v>-0.29776193000000001</v>
      </c>
      <c r="F81" s="11">
        <v>-0.90412407100000003</v>
      </c>
      <c r="G81" s="23">
        <v>-0.32530784899999998</v>
      </c>
      <c r="H81" s="23">
        <v>-0.32710259699999999</v>
      </c>
      <c r="I81" s="23">
        <v>-0.32940920000000001</v>
      </c>
      <c r="J81" s="11">
        <v>-1.8859437170000002</v>
      </c>
      <c r="K81" s="23">
        <v>186.892048762</v>
      </c>
      <c r="L81" s="23">
        <v>53.566138633000001</v>
      </c>
      <c r="M81" s="23">
        <v>15.480814868</v>
      </c>
      <c r="N81" s="11">
        <v>254.05305854600002</v>
      </c>
      <c r="O81" s="23">
        <v>34.929169364000003</v>
      </c>
      <c r="P81" s="23">
        <v>0</v>
      </c>
      <c r="Q81" s="23">
        <v>0</v>
      </c>
      <c r="R81" s="23">
        <v>288.98222791000001</v>
      </c>
      <c r="S81" s="338"/>
      <c r="T81" s="338"/>
    </row>
    <row r="82" spans="1:20" s="27" customFormat="1" ht="24.75" customHeight="1">
      <c r="A82" s="25"/>
      <c r="B82" s="50" t="s">
        <v>101</v>
      </c>
      <c r="C82" s="23">
        <v>0</v>
      </c>
      <c r="D82" s="23">
        <v>0</v>
      </c>
      <c r="E82" s="23">
        <v>0</v>
      </c>
      <c r="F82" s="11">
        <v>0</v>
      </c>
      <c r="G82" s="23">
        <v>0</v>
      </c>
      <c r="H82" s="23">
        <v>0</v>
      </c>
      <c r="I82" s="23">
        <v>0</v>
      </c>
      <c r="J82" s="11">
        <v>0</v>
      </c>
      <c r="K82" s="23">
        <v>187.21733220900001</v>
      </c>
      <c r="L82" s="23">
        <v>53.830705516000002</v>
      </c>
      <c r="M82" s="23">
        <v>15.764098927999999</v>
      </c>
      <c r="N82" s="11">
        <v>256.81213665299998</v>
      </c>
      <c r="O82" s="23">
        <v>35.211396120000003</v>
      </c>
      <c r="P82" s="23">
        <v>0</v>
      </c>
      <c r="Q82" s="23">
        <v>0</v>
      </c>
      <c r="R82" s="23">
        <v>292.023532773</v>
      </c>
      <c r="T82" s="338"/>
    </row>
    <row r="83" spans="1:20" s="27" customFormat="1" ht="24.75" customHeight="1">
      <c r="A83" s="25"/>
      <c r="B83" s="51" t="s">
        <v>102</v>
      </c>
      <c r="C83" s="19">
        <v>0</v>
      </c>
      <c r="D83" s="19">
        <v>0</v>
      </c>
      <c r="E83" s="19">
        <v>0</v>
      </c>
      <c r="F83" s="11">
        <v>0</v>
      </c>
      <c r="G83" s="19">
        <v>0</v>
      </c>
      <c r="H83" s="19">
        <v>0</v>
      </c>
      <c r="I83" s="19">
        <v>0</v>
      </c>
      <c r="J83" s="11">
        <v>0</v>
      </c>
      <c r="K83" s="19">
        <v>0</v>
      </c>
      <c r="L83" s="19">
        <v>0</v>
      </c>
      <c r="M83" s="19">
        <v>0</v>
      </c>
      <c r="N83" s="11">
        <v>0</v>
      </c>
      <c r="O83" s="19">
        <v>0</v>
      </c>
      <c r="P83" s="19">
        <v>0</v>
      </c>
      <c r="Q83" s="19">
        <v>0</v>
      </c>
      <c r="R83" s="23">
        <v>0</v>
      </c>
    </row>
    <row r="84" spans="1:20" s="27" customFormat="1" ht="24.75" customHeight="1">
      <c r="A84" s="25"/>
      <c r="B84" s="22" t="s">
        <v>103</v>
      </c>
      <c r="C84" s="23">
        <v>0</v>
      </c>
      <c r="D84" s="23">
        <v>0</v>
      </c>
      <c r="E84" s="23">
        <v>0</v>
      </c>
      <c r="F84" s="11">
        <v>0</v>
      </c>
      <c r="G84" s="23">
        <v>0</v>
      </c>
      <c r="H84" s="23">
        <v>0</v>
      </c>
      <c r="I84" s="23">
        <v>0</v>
      </c>
      <c r="J84" s="11">
        <v>0</v>
      </c>
      <c r="K84" s="23">
        <v>0</v>
      </c>
      <c r="L84" s="23">
        <v>0</v>
      </c>
      <c r="M84" s="23">
        <v>0</v>
      </c>
      <c r="N84" s="11">
        <v>0</v>
      </c>
      <c r="O84" s="23">
        <v>0</v>
      </c>
      <c r="P84" s="23">
        <v>0</v>
      </c>
      <c r="Q84" s="23">
        <v>0</v>
      </c>
      <c r="R84" s="23">
        <v>0</v>
      </c>
    </row>
    <row r="85" spans="1:20" s="27" customFormat="1" ht="24.75" customHeight="1">
      <c r="A85" s="25"/>
      <c r="B85" s="52" t="s">
        <v>104</v>
      </c>
      <c r="C85" s="23">
        <v>0</v>
      </c>
      <c r="D85" s="23">
        <v>0</v>
      </c>
      <c r="E85" s="23">
        <v>0</v>
      </c>
      <c r="F85" s="11">
        <v>0</v>
      </c>
      <c r="G85" s="23">
        <v>0</v>
      </c>
      <c r="H85" s="23">
        <v>0</v>
      </c>
      <c r="I85" s="23">
        <v>0</v>
      </c>
      <c r="J85" s="11">
        <v>0</v>
      </c>
      <c r="K85" s="23">
        <v>0</v>
      </c>
      <c r="L85" s="23">
        <v>0</v>
      </c>
      <c r="M85" s="23">
        <v>0</v>
      </c>
      <c r="N85" s="11">
        <v>0</v>
      </c>
      <c r="O85" s="23">
        <v>0</v>
      </c>
      <c r="P85" s="23">
        <v>0</v>
      </c>
      <c r="Q85" s="23">
        <v>0</v>
      </c>
      <c r="R85" s="23">
        <v>0</v>
      </c>
    </row>
    <row r="86" spans="1:20" s="27" customFormat="1" ht="24.75" customHeight="1">
      <c r="A86" s="25"/>
      <c r="B86" s="52" t="s">
        <v>105</v>
      </c>
      <c r="C86" s="23">
        <v>0</v>
      </c>
      <c r="D86" s="23">
        <v>0</v>
      </c>
      <c r="E86" s="23">
        <v>0</v>
      </c>
      <c r="F86" s="11">
        <v>0</v>
      </c>
      <c r="G86" s="23">
        <v>0</v>
      </c>
      <c r="H86" s="23">
        <v>0</v>
      </c>
      <c r="I86" s="23">
        <v>0</v>
      </c>
      <c r="J86" s="11">
        <v>0</v>
      </c>
      <c r="K86" s="23">
        <v>0</v>
      </c>
      <c r="L86" s="23">
        <v>0</v>
      </c>
      <c r="M86" s="23">
        <v>0</v>
      </c>
      <c r="N86" s="11">
        <v>0</v>
      </c>
      <c r="O86" s="23">
        <v>0</v>
      </c>
      <c r="P86" s="23">
        <v>0</v>
      </c>
      <c r="Q86" s="23">
        <v>0</v>
      </c>
      <c r="R86" s="23">
        <v>0</v>
      </c>
    </row>
    <row r="87" spans="1:20" s="27" customFormat="1" ht="24.75" customHeight="1">
      <c r="A87" s="25"/>
      <c r="B87" s="52" t="s">
        <v>106</v>
      </c>
      <c r="C87" s="23">
        <v>-3.1923908509999999</v>
      </c>
      <c r="D87" s="23">
        <v>0.38022649400000003</v>
      </c>
      <c r="E87" s="23">
        <v>4.6314527180000002</v>
      </c>
      <c r="F87" s="11">
        <v>1.8192883610000004</v>
      </c>
      <c r="G87" s="23">
        <v>-1.497787601</v>
      </c>
      <c r="H87" s="23">
        <v>5.7902740929999998</v>
      </c>
      <c r="I87" s="23">
        <v>14.065569927</v>
      </c>
      <c r="J87" s="11">
        <v>20.177344779999999</v>
      </c>
      <c r="K87" s="23">
        <v>0.76428254500000004</v>
      </c>
      <c r="L87" s="23">
        <v>4.4335225129999998</v>
      </c>
      <c r="M87" s="23">
        <v>-17.213416908999999</v>
      </c>
      <c r="N87" s="11">
        <v>8.1617329289999994</v>
      </c>
      <c r="O87" s="23">
        <v>1.6031078510000001</v>
      </c>
      <c r="P87" s="23">
        <v>0</v>
      </c>
      <c r="Q87" s="23">
        <v>0</v>
      </c>
      <c r="R87" s="23">
        <v>9.7648407800000001</v>
      </c>
    </row>
    <row r="88" spans="1:20" ht="24.75" customHeight="1">
      <c r="A88" s="13" t="s">
        <v>107</v>
      </c>
      <c r="B88" s="14" t="s">
        <v>108</v>
      </c>
      <c r="C88" s="15">
        <v>0</v>
      </c>
      <c r="D88" s="15">
        <v>0</v>
      </c>
      <c r="E88" s="15">
        <v>0</v>
      </c>
      <c r="F88" s="11">
        <v>0</v>
      </c>
      <c r="G88" s="15">
        <v>0</v>
      </c>
      <c r="H88" s="15">
        <v>0</v>
      </c>
      <c r="I88" s="15">
        <v>0</v>
      </c>
      <c r="J88" s="11">
        <v>0</v>
      </c>
      <c r="K88" s="15">
        <v>0</v>
      </c>
      <c r="L88" s="15">
        <v>0</v>
      </c>
      <c r="M88" s="15">
        <v>0</v>
      </c>
      <c r="N88" s="11">
        <v>0</v>
      </c>
      <c r="O88" s="15">
        <v>0</v>
      </c>
      <c r="P88" s="15">
        <v>0</v>
      </c>
      <c r="Q88" s="15">
        <v>0</v>
      </c>
      <c r="R88" s="15">
        <v>0</v>
      </c>
    </row>
    <row r="89" spans="1:20" ht="24.75" customHeight="1">
      <c r="A89" s="13" t="s">
        <v>109</v>
      </c>
      <c r="B89" s="14" t="s">
        <v>110</v>
      </c>
      <c r="C89" s="15">
        <v>0</v>
      </c>
      <c r="D89" s="15">
        <v>0</v>
      </c>
      <c r="E89" s="15">
        <v>0</v>
      </c>
      <c r="F89" s="11">
        <v>0</v>
      </c>
      <c r="G89" s="15">
        <v>0</v>
      </c>
      <c r="H89" s="15">
        <v>0</v>
      </c>
      <c r="I89" s="15">
        <v>0</v>
      </c>
      <c r="J89" s="11">
        <v>0</v>
      </c>
      <c r="K89" s="15">
        <v>0</v>
      </c>
      <c r="L89" s="15">
        <v>0</v>
      </c>
      <c r="M89" s="15">
        <v>0</v>
      </c>
      <c r="N89" s="11">
        <v>0</v>
      </c>
      <c r="O89" s="15">
        <v>0</v>
      </c>
      <c r="P89" s="15">
        <v>0</v>
      </c>
      <c r="Q89" s="15">
        <v>0</v>
      </c>
      <c r="R89" s="15">
        <v>0</v>
      </c>
    </row>
    <row r="90" spans="1:20" ht="24.75" customHeight="1">
      <c r="A90" s="7" t="s">
        <v>111</v>
      </c>
      <c r="B90" s="10" t="s">
        <v>112</v>
      </c>
      <c r="C90" s="11">
        <v>363.16298962808378</v>
      </c>
      <c r="D90" s="11">
        <v>315.14607549533332</v>
      </c>
      <c r="E90" s="11">
        <v>44.309889907451677</v>
      </c>
      <c r="F90" s="11">
        <v>722.61895503086873</v>
      </c>
      <c r="G90" s="11">
        <v>145.1855403706667</v>
      </c>
      <c r="H90" s="11">
        <v>-59.01429530833002</v>
      </c>
      <c r="I90" s="11">
        <v>272.90493195699997</v>
      </c>
      <c r="J90" s="11">
        <v>1081.6951320502053</v>
      </c>
      <c r="K90" s="11">
        <v>170.80159816894391</v>
      </c>
      <c r="L90" s="11">
        <v>-15.996994439056103</v>
      </c>
      <c r="M90" s="11">
        <v>-68.994460044056112</v>
      </c>
      <c r="N90" s="11">
        <v>1167.505275736037</v>
      </c>
      <c r="O90" s="11">
        <v>66.006204379940002</v>
      </c>
      <c r="P90" s="11">
        <v>0</v>
      </c>
      <c r="Q90" s="11">
        <v>0</v>
      </c>
      <c r="R90" s="11">
        <v>1233.5114801159771</v>
      </c>
      <c r="S90" s="9"/>
    </row>
    <row r="91" spans="1:20" ht="24.75" customHeight="1">
      <c r="A91" s="13" t="s">
        <v>113</v>
      </c>
      <c r="B91" s="14" t="s">
        <v>97</v>
      </c>
      <c r="C91" s="15">
        <v>198.29868509317501</v>
      </c>
      <c r="D91" s="15">
        <v>83.467499505999996</v>
      </c>
      <c r="E91" s="15">
        <v>-44.721243424999997</v>
      </c>
      <c r="F91" s="11">
        <v>237.04494117417499</v>
      </c>
      <c r="G91" s="15">
        <v>28.849823703999999</v>
      </c>
      <c r="H91" s="15">
        <v>-86.358470641448022</v>
      </c>
      <c r="I91" s="15">
        <v>97.997733989999986</v>
      </c>
      <c r="J91" s="11">
        <v>277.53402822672695</v>
      </c>
      <c r="K91" s="15">
        <v>210.15297827217501</v>
      </c>
      <c r="L91" s="15">
        <v>-55.817011088000001</v>
      </c>
      <c r="M91" s="15">
        <v>-92.823008158640008</v>
      </c>
      <c r="N91" s="11">
        <v>339.04698725226194</v>
      </c>
      <c r="O91" s="15">
        <v>52.868563379999998</v>
      </c>
      <c r="P91" s="15">
        <v>0</v>
      </c>
      <c r="Q91" s="15">
        <v>0</v>
      </c>
      <c r="R91" s="15">
        <v>391.91555063226201</v>
      </c>
      <c r="S91" s="9"/>
    </row>
    <row r="92" spans="1:20" s="366" customFormat="1" ht="24.75" customHeight="1">
      <c r="A92" s="362"/>
      <c r="B92" s="363" t="s">
        <v>114</v>
      </c>
      <c r="C92" s="364">
        <v>21.619338800175001</v>
      </c>
      <c r="D92" s="364">
        <v>41.43479</v>
      </c>
      <c r="E92" s="364">
        <v>-25.869312499999999</v>
      </c>
      <c r="F92" s="11">
        <v>37.184816300175001</v>
      </c>
      <c r="G92" s="364">
        <v>44.942219999999999</v>
      </c>
      <c r="H92" s="364">
        <v>20.712609666551987</v>
      </c>
      <c r="I92" s="364">
        <v>31.856000000000002</v>
      </c>
      <c r="J92" s="11">
        <v>134.695645966727</v>
      </c>
      <c r="K92" s="364">
        <v>112.698070495175</v>
      </c>
      <c r="L92" s="364">
        <v>10.7622023</v>
      </c>
      <c r="M92" s="364">
        <v>43.031987547360004</v>
      </c>
      <c r="N92" s="11">
        <v>301.18790630926202</v>
      </c>
      <c r="O92" s="364">
        <v>41.166041999999997</v>
      </c>
      <c r="P92" s="364">
        <v>0</v>
      </c>
      <c r="Q92" s="364">
        <v>0</v>
      </c>
      <c r="R92" s="364">
        <v>342.35394830926202</v>
      </c>
      <c r="S92" s="365"/>
    </row>
    <row r="93" spans="1:20" s="30" customFormat="1" ht="24.75" customHeight="1">
      <c r="A93" s="53"/>
      <c r="B93" s="22" t="s">
        <v>115</v>
      </c>
      <c r="C93" s="23">
        <v>0</v>
      </c>
      <c r="D93" s="23">
        <v>0</v>
      </c>
      <c r="E93" s="23">
        <v>0</v>
      </c>
      <c r="F93" s="11">
        <v>0</v>
      </c>
      <c r="G93" s="23">
        <v>0</v>
      </c>
      <c r="H93" s="23">
        <v>0</v>
      </c>
      <c r="I93" s="23">
        <v>0</v>
      </c>
      <c r="J93" s="11">
        <v>0</v>
      </c>
      <c r="K93" s="23">
        <v>0</v>
      </c>
      <c r="L93" s="23">
        <v>0</v>
      </c>
      <c r="M93" s="23">
        <v>0</v>
      </c>
      <c r="N93" s="11">
        <v>0</v>
      </c>
      <c r="O93" s="23">
        <v>0</v>
      </c>
      <c r="P93" s="23">
        <v>0</v>
      </c>
      <c r="Q93" s="23">
        <v>0</v>
      </c>
      <c r="R93" s="23">
        <v>0</v>
      </c>
      <c r="S93" s="30" t="s">
        <v>192</v>
      </c>
    </row>
    <row r="94" spans="1:20" s="30" customFormat="1" ht="24.75" customHeight="1">
      <c r="A94" s="53"/>
      <c r="B94" s="22" t="s">
        <v>116</v>
      </c>
      <c r="C94" s="23">
        <v>0</v>
      </c>
      <c r="D94" s="23">
        <v>20.76</v>
      </c>
      <c r="E94" s="23">
        <v>0</v>
      </c>
      <c r="F94" s="11">
        <v>20.76</v>
      </c>
      <c r="G94" s="23">
        <v>0</v>
      </c>
      <c r="H94" s="23">
        <v>7.1</v>
      </c>
      <c r="I94" s="23">
        <v>0</v>
      </c>
      <c r="J94" s="11">
        <v>27.86</v>
      </c>
      <c r="K94" s="23">
        <v>-12.98340728</v>
      </c>
      <c r="L94" s="23">
        <v>10.7622023</v>
      </c>
      <c r="M94" s="23">
        <v>17.28</v>
      </c>
      <c r="N94" s="11">
        <v>42.918795020000005</v>
      </c>
      <c r="O94" s="23">
        <v>-16.478000000000002</v>
      </c>
      <c r="P94" s="23">
        <v>0</v>
      </c>
      <c r="Q94" s="23">
        <v>0</v>
      </c>
      <c r="R94" s="23">
        <v>26.440795020000003</v>
      </c>
    </row>
    <row r="95" spans="1:20" s="30" customFormat="1" ht="24.75" customHeight="1">
      <c r="A95" s="53"/>
      <c r="B95" s="22" t="s">
        <v>117</v>
      </c>
      <c r="C95" s="23">
        <v>-2.4454661998249998</v>
      </c>
      <c r="D95" s="23">
        <v>0</v>
      </c>
      <c r="E95" s="23">
        <v>0</v>
      </c>
      <c r="F95" s="11">
        <v>-2.4454661998249998</v>
      </c>
      <c r="G95" s="23">
        <v>0</v>
      </c>
      <c r="H95" s="23">
        <v>-1.9151003334480099</v>
      </c>
      <c r="I95" s="23">
        <v>0</v>
      </c>
      <c r="J95" s="11">
        <v>-4.3605665332730101</v>
      </c>
      <c r="K95" s="23">
        <v>-2.3617947248249997</v>
      </c>
      <c r="L95" s="23">
        <v>0</v>
      </c>
      <c r="M95" s="23">
        <v>0</v>
      </c>
      <c r="N95" s="11">
        <v>-6.7223612580980099</v>
      </c>
      <c r="O95" s="23">
        <v>0</v>
      </c>
      <c r="P95" s="23">
        <v>0</v>
      </c>
      <c r="Q95" s="23">
        <v>0</v>
      </c>
      <c r="R95" s="56">
        <v>-6.7223612580980099</v>
      </c>
    </row>
    <row r="96" spans="1:20" s="30" customFormat="1" ht="24.75" customHeight="1">
      <c r="A96" s="53"/>
      <c r="B96" s="22" t="s">
        <v>118</v>
      </c>
      <c r="C96" s="23">
        <v>31.573930000000001</v>
      </c>
      <c r="D96" s="23">
        <v>20.674790000000002</v>
      </c>
      <c r="E96" s="23">
        <v>-25.869312499999999</v>
      </c>
      <c r="F96" s="11">
        <v>26.379407500000006</v>
      </c>
      <c r="G96" s="23">
        <v>44.942219999999999</v>
      </c>
      <c r="H96" s="23">
        <v>15.527710000000001</v>
      </c>
      <c r="I96" s="23">
        <v>31.856000000000002</v>
      </c>
      <c r="J96" s="11">
        <v>118.70533750000001</v>
      </c>
      <c r="K96" s="23">
        <v>135.55239750000001</v>
      </c>
      <c r="L96" s="23">
        <v>0</v>
      </c>
      <c r="M96" s="23">
        <v>25.751987547359995</v>
      </c>
      <c r="N96" s="11">
        <v>280.00972254736001</v>
      </c>
      <c r="O96" s="23">
        <v>57.644041999999999</v>
      </c>
      <c r="P96" s="23">
        <v>0</v>
      </c>
      <c r="Q96" s="23">
        <v>0</v>
      </c>
      <c r="R96" s="23">
        <v>337.65376454736003</v>
      </c>
    </row>
    <row r="97" spans="1:20" s="30" customFormat="1" ht="24.75" customHeight="1">
      <c r="A97" s="53"/>
      <c r="B97" s="22" t="s">
        <v>119</v>
      </c>
      <c r="C97" s="23">
        <v>-7.509125</v>
      </c>
      <c r="D97" s="23">
        <v>0</v>
      </c>
      <c r="E97" s="23">
        <v>0</v>
      </c>
      <c r="F97" s="11">
        <v>-7.509125</v>
      </c>
      <c r="G97" s="23">
        <v>0</v>
      </c>
      <c r="H97" s="23">
        <v>0</v>
      </c>
      <c r="I97" s="23">
        <v>0</v>
      </c>
      <c r="J97" s="11">
        <v>-7.509125</v>
      </c>
      <c r="K97" s="23">
        <v>-7.509125</v>
      </c>
      <c r="L97" s="23">
        <v>0</v>
      </c>
      <c r="M97" s="23">
        <v>0</v>
      </c>
      <c r="N97" s="11">
        <v>-15.01825</v>
      </c>
      <c r="O97" s="23">
        <v>0</v>
      </c>
      <c r="P97" s="23">
        <v>0</v>
      </c>
      <c r="Q97" s="23">
        <v>0</v>
      </c>
      <c r="R97" s="23">
        <v>-15.01825</v>
      </c>
    </row>
    <row r="98" spans="1:20" s="30" customFormat="1" ht="24.75" customHeight="1">
      <c r="A98" s="53"/>
      <c r="B98" s="54" t="s">
        <v>120</v>
      </c>
      <c r="C98" s="55">
        <v>0</v>
      </c>
      <c r="D98" s="55">
        <v>-5.3330000000000002</v>
      </c>
      <c r="E98" s="55">
        <v>0</v>
      </c>
      <c r="F98" s="11">
        <v>-5.3330000000000002</v>
      </c>
      <c r="G98" s="55">
        <v>0</v>
      </c>
      <c r="H98" s="55">
        <v>0</v>
      </c>
      <c r="I98" s="55">
        <v>129.27690756699999</v>
      </c>
      <c r="J98" s="11">
        <v>123.943907567</v>
      </c>
      <c r="K98" s="55">
        <v>0</v>
      </c>
      <c r="L98" s="55">
        <v>-5.3330000000000002</v>
      </c>
      <c r="M98" s="55">
        <v>0</v>
      </c>
      <c r="N98" s="11">
        <v>118.610907567</v>
      </c>
      <c r="O98" s="55">
        <v>0</v>
      </c>
      <c r="P98" s="55">
        <v>0</v>
      </c>
      <c r="Q98" s="55">
        <v>0</v>
      </c>
      <c r="R98" s="55">
        <v>118.610907567</v>
      </c>
    </row>
    <row r="99" spans="1:20" s="30" customFormat="1" ht="24.75" customHeight="1">
      <c r="A99" s="53"/>
      <c r="B99" s="22" t="s">
        <v>121</v>
      </c>
      <c r="C99" s="23">
        <v>0</v>
      </c>
      <c r="D99" s="23">
        <v>-5.3330000000000002</v>
      </c>
      <c r="E99" s="23">
        <v>0</v>
      </c>
      <c r="F99" s="11">
        <v>-5.3330000000000002</v>
      </c>
      <c r="G99" s="23">
        <v>0</v>
      </c>
      <c r="H99" s="23">
        <v>0</v>
      </c>
      <c r="I99" s="23">
        <v>0</v>
      </c>
      <c r="J99" s="11">
        <v>-5.3330000000000002</v>
      </c>
      <c r="K99" s="23">
        <v>0</v>
      </c>
      <c r="L99" s="23">
        <v>0</v>
      </c>
      <c r="M99" s="23">
        <v>0</v>
      </c>
      <c r="N99" s="11">
        <v>-5.3330000000000002</v>
      </c>
      <c r="O99" s="23">
        <v>0</v>
      </c>
      <c r="P99" s="23">
        <v>0</v>
      </c>
      <c r="Q99" s="23">
        <v>0</v>
      </c>
      <c r="R99" s="23">
        <v>-5.3330000000000002</v>
      </c>
    </row>
    <row r="100" spans="1:20" s="30" customFormat="1" ht="24.75" customHeight="1">
      <c r="A100" s="53"/>
      <c r="B100" s="22" t="s">
        <v>122</v>
      </c>
      <c r="C100" s="23">
        <v>0</v>
      </c>
      <c r="D100" s="23">
        <v>0</v>
      </c>
      <c r="E100" s="23">
        <v>0</v>
      </c>
      <c r="F100" s="11">
        <v>0</v>
      </c>
      <c r="G100" s="23">
        <v>0</v>
      </c>
      <c r="H100" s="23">
        <v>0</v>
      </c>
      <c r="I100" s="23">
        <v>0</v>
      </c>
      <c r="J100" s="11">
        <v>0</v>
      </c>
      <c r="K100" s="23">
        <v>0</v>
      </c>
      <c r="L100" s="23"/>
      <c r="M100" s="23">
        <v>0</v>
      </c>
      <c r="N100" s="11">
        <v>0</v>
      </c>
      <c r="O100" s="23">
        <v>0</v>
      </c>
      <c r="P100" s="23">
        <v>0</v>
      </c>
      <c r="Q100" s="23">
        <v>0</v>
      </c>
      <c r="R100" s="23">
        <v>0</v>
      </c>
    </row>
    <row r="101" spans="1:20" s="30" customFormat="1" ht="24.75" customHeight="1">
      <c r="A101" s="53"/>
      <c r="B101" s="22" t="s">
        <v>123</v>
      </c>
      <c r="C101" s="23">
        <v>0</v>
      </c>
      <c r="D101" s="23">
        <v>0</v>
      </c>
      <c r="E101" s="23">
        <v>0</v>
      </c>
      <c r="F101" s="11">
        <v>0</v>
      </c>
      <c r="G101" s="23">
        <v>0</v>
      </c>
      <c r="H101" s="23">
        <v>0</v>
      </c>
      <c r="I101" s="23">
        <v>0</v>
      </c>
      <c r="J101" s="11">
        <v>0</v>
      </c>
      <c r="K101" s="23">
        <v>0</v>
      </c>
      <c r="L101" s="23">
        <v>0</v>
      </c>
      <c r="M101" s="23">
        <v>0</v>
      </c>
      <c r="N101" s="11">
        <v>0</v>
      </c>
      <c r="O101" s="23">
        <v>0</v>
      </c>
      <c r="P101" s="23">
        <v>0</v>
      </c>
      <c r="Q101" s="23">
        <v>0</v>
      </c>
      <c r="R101" s="23">
        <v>0</v>
      </c>
    </row>
    <row r="102" spans="1:20" s="30" customFormat="1" ht="24.75" customHeight="1">
      <c r="A102" s="53"/>
      <c r="B102" s="22" t="s">
        <v>124</v>
      </c>
      <c r="C102" s="23">
        <v>0</v>
      </c>
      <c r="D102" s="23">
        <v>0</v>
      </c>
      <c r="E102" s="23">
        <v>0</v>
      </c>
      <c r="F102" s="11">
        <v>0</v>
      </c>
      <c r="G102" s="23">
        <v>0</v>
      </c>
      <c r="H102" s="23">
        <v>0</v>
      </c>
      <c r="I102" s="23">
        <v>134.75042676000001</v>
      </c>
      <c r="J102" s="11">
        <v>134.75042676000001</v>
      </c>
      <c r="K102" s="23">
        <v>0</v>
      </c>
      <c r="L102" s="23">
        <v>0</v>
      </c>
      <c r="M102" s="23">
        <v>0</v>
      </c>
      <c r="N102" s="11">
        <v>134.75042676000001</v>
      </c>
      <c r="O102" s="23">
        <v>0</v>
      </c>
      <c r="P102" s="23">
        <v>0</v>
      </c>
      <c r="Q102" s="23">
        <v>0</v>
      </c>
      <c r="R102" s="23">
        <v>134.75042676000001</v>
      </c>
      <c r="S102" s="30">
        <f>170/15000</f>
        <v>1.1333333333333334E-2</v>
      </c>
    </row>
    <row r="103" spans="1:20" s="30" customFormat="1" ht="24.75" customHeight="1">
      <c r="A103" s="53"/>
      <c r="B103" s="22" t="s">
        <v>125</v>
      </c>
      <c r="C103" s="23">
        <v>0</v>
      </c>
      <c r="D103" s="23">
        <v>0</v>
      </c>
      <c r="E103" s="23">
        <v>0</v>
      </c>
      <c r="F103" s="11">
        <v>0</v>
      </c>
      <c r="G103" s="23">
        <v>0</v>
      </c>
      <c r="H103" s="23">
        <v>0</v>
      </c>
      <c r="I103" s="23">
        <v>-5.4735191929999996</v>
      </c>
      <c r="J103" s="11">
        <v>-5.4735191929999996</v>
      </c>
      <c r="K103" s="23">
        <v>0</v>
      </c>
      <c r="L103" s="23">
        <v>-5.3330000000000002</v>
      </c>
      <c r="M103" s="23">
        <v>0</v>
      </c>
      <c r="N103" s="11">
        <v>-10.806519193</v>
      </c>
      <c r="O103" s="23">
        <v>0</v>
      </c>
      <c r="P103" s="23">
        <v>0</v>
      </c>
      <c r="Q103" s="23">
        <v>0</v>
      </c>
      <c r="R103" s="23">
        <v>-10.806519193</v>
      </c>
    </row>
    <row r="104" spans="1:20" s="58" customFormat="1" ht="24.75" customHeight="1">
      <c r="A104" s="57"/>
      <c r="B104" s="22" t="s">
        <v>126</v>
      </c>
      <c r="C104" s="23">
        <v>176.67934629300001</v>
      </c>
      <c r="D104" s="23">
        <v>47.365709506000002</v>
      </c>
      <c r="E104" s="23">
        <v>-18.851930925000001</v>
      </c>
      <c r="F104" s="11">
        <v>205.19312487400001</v>
      </c>
      <c r="G104" s="23">
        <v>-16.092396296</v>
      </c>
      <c r="H104" s="23">
        <v>-107.07108030800001</v>
      </c>
      <c r="I104" s="23">
        <v>-63.135173577000003</v>
      </c>
      <c r="J104" s="11">
        <v>18.894474692999992</v>
      </c>
      <c r="K104" s="23">
        <v>97.454907777000003</v>
      </c>
      <c r="L104" s="23">
        <v>-61.246213388000001</v>
      </c>
      <c r="M104" s="23">
        <v>-135.85499570600001</v>
      </c>
      <c r="N104" s="11">
        <v>-80.751826624000017</v>
      </c>
      <c r="O104" s="23">
        <v>11.70252138</v>
      </c>
      <c r="P104" s="23">
        <v>0</v>
      </c>
      <c r="Q104" s="23">
        <v>0</v>
      </c>
      <c r="R104" s="23">
        <v>-69.04930524400001</v>
      </c>
    </row>
    <row r="105" spans="1:20" s="30" customFormat="1" ht="24.75" customHeight="1">
      <c r="A105" s="53"/>
      <c r="B105" s="50" t="s">
        <v>127</v>
      </c>
      <c r="C105" s="23">
        <v>76.469675627000001</v>
      </c>
      <c r="D105" s="23">
        <v>-53.927882740000001</v>
      </c>
      <c r="E105" s="23">
        <v>27.131149117</v>
      </c>
      <c r="F105" s="11">
        <v>49.672942003999999</v>
      </c>
      <c r="G105" s="23">
        <v>9.7343610480000002</v>
      </c>
      <c r="H105" s="23">
        <v>44.403682279000002</v>
      </c>
      <c r="I105" s="23">
        <v>-12.306627215000001</v>
      </c>
      <c r="J105" s="11">
        <v>91.504358116000006</v>
      </c>
      <c r="K105" s="23">
        <v>-17.986398475000001</v>
      </c>
      <c r="L105" s="23">
        <v>4.5492418280000004</v>
      </c>
      <c r="M105" s="23">
        <v>-59.708865037999999</v>
      </c>
      <c r="N105" s="11">
        <v>18.358336431000012</v>
      </c>
      <c r="O105" s="23">
        <v>-0.95012112400000004</v>
      </c>
      <c r="P105" s="23">
        <v>0</v>
      </c>
      <c r="Q105" s="23">
        <v>0</v>
      </c>
      <c r="R105" s="23">
        <v>17.408215307000013</v>
      </c>
    </row>
    <row r="106" spans="1:20" s="59" customFormat="1" ht="24.75" customHeight="1">
      <c r="A106" s="17"/>
      <c r="B106" s="50" t="s">
        <v>128</v>
      </c>
      <c r="C106" s="367">
        <v>98.452070935999998</v>
      </c>
      <c r="D106" s="367">
        <v>100.94815198100001</v>
      </c>
      <c r="E106" s="367">
        <v>-51.915565222000005</v>
      </c>
      <c r="F106" s="11">
        <v>147.48465769500001</v>
      </c>
      <c r="G106" s="367">
        <v>-48.810427496000003</v>
      </c>
      <c r="H106" s="367">
        <v>-157.12991715400003</v>
      </c>
      <c r="I106" s="367">
        <v>-55.045615279999993</v>
      </c>
      <c r="J106" s="11">
        <v>-113.50130223500001</v>
      </c>
      <c r="K106" s="367">
        <v>147.74139870499999</v>
      </c>
      <c r="L106" s="367">
        <v>-67.894527728</v>
      </c>
      <c r="M106" s="367">
        <v>-79.204569206999992</v>
      </c>
      <c r="N106" s="11">
        <v>-112.85900046500001</v>
      </c>
      <c r="O106" s="367">
        <v>-11.783609333999998</v>
      </c>
      <c r="P106" s="367">
        <v>0</v>
      </c>
      <c r="Q106" s="367">
        <v>0</v>
      </c>
      <c r="R106" s="19">
        <v>-124.64260979900001</v>
      </c>
      <c r="S106" s="368"/>
      <c r="T106" s="368"/>
    </row>
    <row r="107" spans="1:20" s="20" customFormat="1" ht="24.75" customHeight="1">
      <c r="A107" s="17"/>
      <c r="B107" s="50" t="s">
        <v>129</v>
      </c>
      <c r="C107" s="369">
        <v>1.268123895</v>
      </c>
      <c r="D107" s="369">
        <v>1.61683226</v>
      </c>
      <c r="E107" s="369">
        <v>1.9010888990000001</v>
      </c>
      <c r="F107" s="11">
        <v>4.7860450540000006</v>
      </c>
      <c r="G107" s="19">
        <v>1.9153357280000001</v>
      </c>
      <c r="H107" s="19">
        <v>2.1249075839999998</v>
      </c>
      <c r="I107" s="19">
        <v>0.68682193499999999</v>
      </c>
      <c r="J107" s="11">
        <v>9.5131103009999993</v>
      </c>
      <c r="K107" s="19">
        <v>0.84339515300000001</v>
      </c>
      <c r="L107" s="19">
        <v>0.74177753499999999</v>
      </c>
      <c r="M107" s="19">
        <v>2.568962704</v>
      </c>
      <c r="N107" s="11">
        <v>13.667245693</v>
      </c>
      <c r="O107" s="19">
        <v>2.3531429450000001</v>
      </c>
      <c r="P107" s="19">
        <v>0</v>
      </c>
      <c r="Q107" s="19">
        <v>0</v>
      </c>
      <c r="R107" s="19">
        <v>16.020388638</v>
      </c>
    </row>
    <row r="108" spans="1:20" ht="24.75" customHeight="1">
      <c r="A108" s="13" t="s">
        <v>130</v>
      </c>
      <c r="B108" s="14" t="s">
        <v>108</v>
      </c>
      <c r="C108" s="15">
        <v>164.8643045349088</v>
      </c>
      <c r="D108" s="15">
        <v>231.67857598933332</v>
      </c>
      <c r="E108" s="15">
        <v>89.031133332451674</v>
      </c>
      <c r="F108" s="11">
        <v>485.5740138566938</v>
      </c>
      <c r="G108" s="15">
        <v>116.3357166666667</v>
      </c>
      <c r="H108" s="15">
        <v>27.344175333118006</v>
      </c>
      <c r="I108" s="15">
        <v>174.907197967</v>
      </c>
      <c r="J108" s="11">
        <v>804.16110382347847</v>
      </c>
      <c r="K108" s="15">
        <v>-39.351380103231101</v>
      </c>
      <c r="L108" s="15">
        <v>39.820016648943898</v>
      </c>
      <c r="M108" s="15">
        <v>23.828548114583896</v>
      </c>
      <c r="N108" s="11">
        <v>828.45828848377516</v>
      </c>
      <c r="O108" s="15">
        <v>13.137640999939999</v>
      </c>
      <c r="P108" s="15">
        <v>0</v>
      </c>
      <c r="Q108" s="15">
        <v>0</v>
      </c>
      <c r="R108" s="15">
        <v>841.59592948371505</v>
      </c>
    </row>
    <row r="109" spans="1:20" s="30" customFormat="1" ht="24.75" customHeight="1">
      <c r="A109" s="53"/>
      <c r="B109" s="60" t="s">
        <v>131</v>
      </c>
      <c r="C109" s="23">
        <v>0</v>
      </c>
      <c r="D109" s="23">
        <v>0</v>
      </c>
      <c r="E109" s="23">
        <v>0</v>
      </c>
      <c r="F109" s="11">
        <v>0</v>
      </c>
      <c r="G109" s="23">
        <v>0</v>
      </c>
      <c r="H109" s="23">
        <v>0</v>
      </c>
      <c r="I109" s="23">
        <v>0</v>
      </c>
      <c r="J109" s="11">
        <v>0</v>
      </c>
      <c r="K109" s="23">
        <v>0</v>
      </c>
      <c r="L109" s="23">
        <v>0</v>
      </c>
      <c r="M109" s="23">
        <v>0</v>
      </c>
      <c r="N109" s="11">
        <v>0</v>
      </c>
      <c r="O109" s="23">
        <v>0</v>
      </c>
      <c r="P109" s="23">
        <v>0</v>
      </c>
      <c r="Q109" s="23">
        <v>0</v>
      </c>
      <c r="R109" s="23">
        <v>0</v>
      </c>
    </row>
    <row r="110" spans="1:20" s="30" customFormat="1" ht="24.75" customHeight="1">
      <c r="A110" s="53"/>
      <c r="B110" s="60" t="s">
        <v>132</v>
      </c>
      <c r="C110" s="23">
        <v>54.309587449824996</v>
      </c>
      <c r="D110" s="23">
        <v>48.56521</v>
      </c>
      <c r="E110" s="23">
        <v>39.619312499999999</v>
      </c>
      <c r="F110" s="11">
        <v>142.494109949825</v>
      </c>
      <c r="G110" s="23">
        <v>72.557779999999994</v>
      </c>
      <c r="H110" s="23">
        <v>24.275723666448009</v>
      </c>
      <c r="I110" s="23">
        <v>19.501000000000001</v>
      </c>
      <c r="J110" s="11">
        <v>258.828613616273</v>
      </c>
      <c r="K110" s="23">
        <v>-75.799344245175007</v>
      </c>
      <c r="L110" s="23">
        <v>6.7417977000000002</v>
      </c>
      <c r="M110" s="23">
        <v>30.003538552640002</v>
      </c>
      <c r="N110" s="11">
        <v>219.77460562373801</v>
      </c>
      <c r="O110" s="23">
        <v>12.33558</v>
      </c>
      <c r="P110" s="23">
        <v>0</v>
      </c>
      <c r="Q110" s="23">
        <v>0</v>
      </c>
      <c r="R110" s="23">
        <v>232.110185623738</v>
      </c>
    </row>
    <row r="111" spans="1:20" s="62" customFormat="1" ht="24.75" customHeight="1">
      <c r="A111" s="61"/>
      <c r="B111" s="60" t="s">
        <v>133</v>
      </c>
      <c r="C111" s="23">
        <v>0</v>
      </c>
      <c r="D111" s="23">
        <v>14.24</v>
      </c>
      <c r="E111" s="23">
        <v>0</v>
      </c>
      <c r="F111" s="11">
        <v>14.24</v>
      </c>
      <c r="G111" s="23">
        <v>0</v>
      </c>
      <c r="H111" s="23">
        <v>8.4550000000000001</v>
      </c>
      <c r="I111" s="23">
        <v>0</v>
      </c>
      <c r="J111" s="11">
        <v>22.695</v>
      </c>
      <c r="K111" s="23">
        <v>-21.020592719999996</v>
      </c>
      <c r="L111" s="23">
        <v>6.7417977000000002</v>
      </c>
      <c r="M111" s="23">
        <v>21.1</v>
      </c>
      <c r="N111" s="11">
        <v>29.516204980000005</v>
      </c>
      <c r="O111" s="23">
        <v>-12.068</v>
      </c>
      <c r="P111" s="23">
        <v>0</v>
      </c>
      <c r="Q111" s="23">
        <v>0</v>
      </c>
      <c r="R111" s="23">
        <v>17.448204980000007</v>
      </c>
    </row>
    <row r="112" spans="1:20" s="62" customFormat="1" ht="24.75" customHeight="1">
      <c r="A112" s="61"/>
      <c r="B112" s="60" t="s">
        <v>134</v>
      </c>
      <c r="C112" s="23">
        <v>61.03857</v>
      </c>
      <c r="D112" s="23">
        <v>34.325209999999998</v>
      </c>
      <c r="E112" s="23">
        <v>39.619312499999999</v>
      </c>
      <c r="F112" s="11">
        <v>134.9830925</v>
      </c>
      <c r="G112" s="23">
        <v>72.557779999999994</v>
      </c>
      <c r="H112" s="23">
        <v>19.472290000000001</v>
      </c>
      <c r="I112" s="23">
        <v>19.501000000000001</v>
      </c>
      <c r="J112" s="11">
        <v>246.51416249999997</v>
      </c>
      <c r="K112" s="23">
        <v>-47.966097499999997</v>
      </c>
      <c r="L112" s="23">
        <v>0</v>
      </c>
      <c r="M112" s="23">
        <v>8.9035385526400024</v>
      </c>
      <c r="N112" s="11">
        <v>207.45160355263999</v>
      </c>
      <c r="O112" s="23">
        <v>24.403580000000002</v>
      </c>
      <c r="P112" s="23">
        <v>0</v>
      </c>
      <c r="Q112" s="23">
        <v>0</v>
      </c>
      <c r="R112" s="23">
        <v>231.85518355264</v>
      </c>
    </row>
    <row r="113" spans="1:20" s="27" customFormat="1" ht="24.75" customHeight="1">
      <c r="A113" s="25"/>
      <c r="B113" s="14" t="s">
        <v>135</v>
      </c>
      <c r="C113" s="23">
        <v>-1.7381075501750003</v>
      </c>
      <c r="D113" s="23">
        <v>0</v>
      </c>
      <c r="E113" s="23">
        <v>0</v>
      </c>
      <c r="F113" s="11">
        <v>-1.7381075501750003</v>
      </c>
      <c r="G113" s="23">
        <v>0</v>
      </c>
      <c r="H113" s="23">
        <v>-3.6515663335519899</v>
      </c>
      <c r="I113" s="23">
        <v>0</v>
      </c>
      <c r="J113" s="11">
        <v>-5.3896738837269904</v>
      </c>
      <c r="K113" s="23">
        <v>-1.8217790251750001</v>
      </c>
      <c r="L113" s="23">
        <v>0</v>
      </c>
      <c r="M113" s="23">
        <v>0</v>
      </c>
      <c r="N113" s="11">
        <v>-7.2114529089019905</v>
      </c>
      <c r="O113" s="23">
        <v>0</v>
      </c>
      <c r="P113" s="23">
        <v>0</v>
      </c>
      <c r="Q113" s="23">
        <v>0</v>
      </c>
      <c r="R113" s="23">
        <v>-7.2114529089019905</v>
      </c>
    </row>
    <row r="114" spans="1:20" s="38" customFormat="1" ht="24.75" customHeight="1">
      <c r="A114" s="25"/>
      <c r="B114" s="14" t="s">
        <v>136</v>
      </c>
      <c r="C114" s="23">
        <v>0</v>
      </c>
      <c r="D114" s="23">
        <v>0</v>
      </c>
      <c r="E114" s="23">
        <v>0</v>
      </c>
      <c r="F114" s="11">
        <v>0</v>
      </c>
      <c r="G114" s="23">
        <v>0</v>
      </c>
      <c r="H114" s="23">
        <v>0</v>
      </c>
      <c r="I114" s="23">
        <v>0</v>
      </c>
      <c r="J114" s="11">
        <v>0</v>
      </c>
      <c r="K114" s="23">
        <v>0</v>
      </c>
      <c r="L114" s="23">
        <v>0</v>
      </c>
      <c r="M114" s="23">
        <v>0</v>
      </c>
      <c r="N114" s="11">
        <v>0</v>
      </c>
      <c r="O114" s="23">
        <v>0</v>
      </c>
      <c r="P114" s="23">
        <v>0</v>
      </c>
      <c r="Q114" s="23">
        <v>0</v>
      </c>
      <c r="R114" s="23">
        <v>0</v>
      </c>
    </row>
    <row r="115" spans="1:20" s="38" customFormat="1" ht="24.75" customHeight="1">
      <c r="A115" s="25"/>
      <c r="B115" s="14" t="s">
        <v>137</v>
      </c>
      <c r="C115" s="23">
        <v>-4.990875</v>
      </c>
      <c r="D115" s="23">
        <v>0</v>
      </c>
      <c r="E115" s="23">
        <v>0</v>
      </c>
      <c r="F115" s="11">
        <v>-4.990875</v>
      </c>
      <c r="G115" s="23">
        <v>0</v>
      </c>
      <c r="H115" s="23">
        <v>0</v>
      </c>
      <c r="I115" s="23">
        <v>0</v>
      </c>
      <c r="J115" s="11">
        <v>-4.990875</v>
      </c>
      <c r="K115" s="23">
        <v>-4.990875</v>
      </c>
      <c r="L115" s="23">
        <v>0</v>
      </c>
      <c r="M115" s="23">
        <v>0</v>
      </c>
      <c r="N115" s="11">
        <v>-9.9817499999999999</v>
      </c>
      <c r="O115" s="23">
        <v>0</v>
      </c>
      <c r="P115" s="23">
        <v>0</v>
      </c>
      <c r="Q115" s="23">
        <v>0</v>
      </c>
      <c r="R115" s="23">
        <v>-9.9817499999999999</v>
      </c>
    </row>
    <row r="116" spans="1:20" s="30" customFormat="1" ht="24.75" customHeight="1">
      <c r="A116" s="53"/>
      <c r="B116" s="14" t="s">
        <v>138</v>
      </c>
      <c r="C116" s="23">
        <v>110.55471708508379</v>
      </c>
      <c r="D116" s="23">
        <v>183.11336598933332</v>
      </c>
      <c r="E116" s="23">
        <v>49.411820832451681</v>
      </c>
      <c r="F116" s="11">
        <v>343.07990390686876</v>
      </c>
      <c r="G116" s="23">
        <v>43.777936666666704</v>
      </c>
      <c r="H116" s="23">
        <v>3.0684516666699984</v>
      </c>
      <c r="I116" s="23">
        <v>155.406197967</v>
      </c>
      <c r="J116" s="11">
        <v>545.33249020720541</v>
      </c>
      <c r="K116" s="23">
        <v>36.447964141943906</v>
      </c>
      <c r="L116" s="23">
        <v>33.078218948943899</v>
      </c>
      <c r="M116" s="23">
        <v>-6.1749904380561063</v>
      </c>
      <c r="N116" s="11">
        <v>608.68368286003715</v>
      </c>
      <c r="O116" s="23">
        <v>0.80206099993999858</v>
      </c>
      <c r="P116" s="23">
        <v>0</v>
      </c>
      <c r="Q116" s="23">
        <v>0</v>
      </c>
      <c r="R116" s="23">
        <v>609.48574385997711</v>
      </c>
      <c r="S116" s="339"/>
    </row>
    <row r="117" spans="1:20" s="27" customFormat="1" ht="24.75" customHeight="1">
      <c r="A117" s="25"/>
      <c r="B117" s="22" t="s">
        <v>139</v>
      </c>
      <c r="C117" s="23">
        <v>104.654</v>
      </c>
      <c r="D117" s="23">
        <v>2.2714485359999999</v>
      </c>
      <c r="E117" s="23">
        <v>0</v>
      </c>
      <c r="F117" s="11">
        <v>106.92544853599999</v>
      </c>
      <c r="G117" s="23">
        <v>0</v>
      </c>
      <c r="H117" s="23">
        <v>0</v>
      </c>
      <c r="I117" s="23">
        <v>175.7308803</v>
      </c>
      <c r="J117" s="11">
        <v>282.656328836</v>
      </c>
      <c r="K117" s="23">
        <v>0</v>
      </c>
      <c r="L117" s="23">
        <v>0</v>
      </c>
      <c r="M117" s="23">
        <v>0</v>
      </c>
      <c r="N117" s="11">
        <v>282.656328836</v>
      </c>
      <c r="O117" s="23">
        <v>6.56</v>
      </c>
      <c r="P117" s="23">
        <v>0</v>
      </c>
      <c r="Q117" s="23">
        <v>0</v>
      </c>
      <c r="R117" s="23">
        <v>289.216328836</v>
      </c>
    </row>
    <row r="118" spans="1:20" s="27" customFormat="1" ht="24.75" customHeight="1">
      <c r="A118" s="25"/>
      <c r="B118" s="22" t="s">
        <v>140</v>
      </c>
      <c r="C118" s="23">
        <v>48.333333333333336</v>
      </c>
      <c r="D118" s="23">
        <v>68.3333333333333</v>
      </c>
      <c r="E118" s="23">
        <v>78.733333333333292</v>
      </c>
      <c r="F118" s="11">
        <v>195.39999999999992</v>
      </c>
      <c r="G118" s="23">
        <v>14.866666666666699</v>
      </c>
      <c r="H118" s="23">
        <v>20.841666666669997</v>
      </c>
      <c r="I118" s="23">
        <v>7.2916666670000003</v>
      </c>
      <c r="J118" s="11">
        <v>238.4000000003366</v>
      </c>
      <c r="K118" s="23">
        <v>46.099999999943904</v>
      </c>
      <c r="L118" s="23">
        <v>46.099999999943904</v>
      </c>
      <c r="M118" s="23">
        <v>21.099999999943893</v>
      </c>
      <c r="N118" s="11">
        <v>351.70000000016836</v>
      </c>
      <c r="O118" s="23">
        <v>21.09999999994</v>
      </c>
      <c r="P118" s="23">
        <v>0</v>
      </c>
      <c r="Q118" s="23">
        <v>0</v>
      </c>
      <c r="R118" s="35">
        <v>372.80000000010835</v>
      </c>
      <c r="S118" s="370"/>
      <c r="T118" s="370"/>
    </row>
    <row r="119" spans="1:20" s="27" customFormat="1" ht="24.75" customHeight="1">
      <c r="A119" s="25"/>
      <c r="B119" s="22" t="s">
        <v>141</v>
      </c>
      <c r="C119" s="23">
        <v>0</v>
      </c>
      <c r="D119" s="23">
        <v>0</v>
      </c>
      <c r="E119" s="23">
        <v>0</v>
      </c>
      <c r="F119" s="11">
        <v>0</v>
      </c>
      <c r="G119" s="23">
        <v>0</v>
      </c>
      <c r="H119" s="23">
        <v>0</v>
      </c>
      <c r="I119" s="23">
        <v>0</v>
      </c>
      <c r="J119" s="11">
        <v>0</v>
      </c>
      <c r="K119" s="23">
        <v>35.476218142</v>
      </c>
      <c r="L119" s="23">
        <v>0.824877949</v>
      </c>
      <c r="M119" s="23">
        <v>4.5110405619999998</v>
      </c>
      <c r="N119" s="11">
        <v>40.812136652999996</v>
      </c>
      <c r="O119" s="23">
        <v>0</v>
      </c>
      <c r="P119" s="23">
        <v>0</v>
      </c>
      <c r="Q119" s="23">
        <v>0</v>
      </c>
      <c r="R119" s="23">
        <v>40.812136652999996</v>
      </c>
    </row>
    <row r="120" spans="1:20" s="27" customFormat="1" ht="24.75" customHeight="1">
      <c r="A120" s="25"/>
      <c r="B120" s="22" t="s">
        <v>142</v>
      </c>
      <c r="C120" s="23">
        <v>0</v>
      </c>
      <c r="D120" s="23">
        <v>130.64039611999999</v>
      </c>
      <c r="E120" s="23">
        <v>0</v>
      </c>
      <c r="F120" s="11">
        <v>130.64039611999999</v>
      </c>
      <c r="G120" s="396">
        <v>120.571</v>
      </c>
      <c r="H120" s="23">
        <v>0</v>
      </c>
      <c r="I120" s="23">
        <v>0</v>
      </c>
      <c r="J120" s="11">
        <v>251.21139611999999</v>
      </c>
      <c r="K120" s="23">
        <v>0</v>
      </c>
      <c r="L120" s="23">
        <v>0</v>
      </c>
      <c r="M120" s="23">
        <v>0</v>
      </c>
      <c r="N120" s="11">
        <v>251.21139611999999</v>
      </c>
      <c r="O120" s="23">
        <v>0</v>
      </c>
      <c r="P120" s="23">
        <v>0</v>
      </c>
      <c r="Q120" s="23">
        <v>0</v>
      </c>
      <c r="R120" s="23">
        <v>251.21139611999999</v>
      </c>
    </row>
    <row r="121" spans="1:20" s="27" customFormat="1" ht="24.75" customHeight="1">
      <c r="A121" s="25"/>
      <c r="B121" s="22" t="s">
        <v>143</v>
      </c>
      <c r="C121" s="23">
        <v>-42.432616248249523</v>
      </c>
      <c r="D121" s="23">
        <v>-18.131812</v>
      </c>
      <c r="E121" s="23">
        <v>-29.321512500881621</v>
      </c>
      <c r="F121" s="11">
        <v>-89.885940749131152</v>
      </c>
      <c r="G121" s="23">
        <v>-91.659729999999996</v>
      </c>
      <c r="H121" s="23">
        <v>-17.773215</v>
      </c>
      <c r="I121" s="23">
        <v>-27.616349</v>
      </c>
      <c r="J121" s="11">
        <v>-226.93523474913115</v>
      </c>
      <c r="K121" s="23">
        <v>-45.128253999999998</v>
      </c>
      <c r="L121" s="23">
        <v>-13.846659000000001</v>
      </c>
      <c r="M121" s="23">
        <v>-31.786031000000001</v>
      </c>
      <c r="N121" s="11">
        <v>-317.69617874913109</v>
      </c>
      <c r="O121" s="23">
        <v>-26.857938999999998</v>
      </c>
      <c r="P121" s="23">
        <v>0</v>
      </c>
      <c r="Q121" s="23">
        <v>0</v>
      </c>
      <c r="R121" s="23">
        <v>-344.55411774913108</v>
      </c>
    </row>
    <row r="122" spans="1:20" s="38" customFormat="1" ht="24.75" customHeight="1">
      <c r="A122" s="25"/>
      <c r="B122" s="22" t="s">
        <v>144</v>
      </c>
      <c r="C122" s="23">
        <v>0</v>
      </c>
      <c r="D122" s="23">
        <v>0</v>
      </c>
      <c r="E122" s="23">
        <v>0</v>
      </c>
      <c r="F122" s="11">
        <v>0</v>
      </c>
      <c r="G122" s="23">
        <v>0</v>
      </c>
      <c r="H122" s="23">
        <v>0</v>
      </c>
      <c r="I122" s="23">
        <v>0</v>
      </c>
      <c r="J122" s="11">
        <v>0</v>
      </c>
      <c r="K122" s="23">
        <v>0</v>
      </c>
      <c r="L122" s="23">
        <v>0</v>
      </c>
      <c r="M122" s="23">
        <v>0</v>
      </c>
      <c r="N122" s="11">
        <v>0</v>
      </c>
      <c r="O122" s="23">
        <v>0</v>
      </c>
      <c r="P122" s="23">
        <v>0</v>
      </c>
      <c r="Q122" s="23">
        <v>0</v>
      </c>
      <c r="R122" s="23">
        <v>0</v>
      </c>
    </row>
    <row r="123" spans="1:20" s="38" customFormat="1" ht="24.75" customHeight="1">
      <c r="A123" s="25"/>
      <c r="B123" s="22" t="s">
        <v>145</v>
      </c>
      <c r="C123" s="23">
        <v>0</v>
      </c>
      <c r="D123" s="23">
        <v>0</v>
      </c>
      <c r="E123" s="23">
        <v>0</v>
      </c>
      <c r="F123" s="11">
        <v>0</v>
      </c>
      <c r="G123" s="23">
        <v>0</v>
      </c>
      <c r="H123" s="23">
        <v>0</v>
      </c>
      <c r="I123" s="23">
        <v>0</v>
      </c>
      <c r="J123" s="11">
        <v>0</v>
      </c>
      <c r="K123" s="23">
        <v>0</v>
      </c>
      <c r="L123" s="23">
        <v>0</v>
      </c>
      <c r="M123" s="23">
        <v>0</v>
      </c>
      <c r="N123" s="11">
        <v>0</v>
      </c>
      <c r="O123" s="23">
        <v>0</v>
      </c>
      <c r="P123" s="23">
        <v>0</v>
      </c>
      <c r="Q123" s="23">
        <v>0</v>
      </c>
      <c r="R123" s="23">
        <v>0</v>
      </c>
    </row>
    <row r="124" spans="1:20" s="30" customFormat="1" ht="24.75" customHeight="1">
      <c r="A124" s="53"/>
      <c r="B124" s="60" t="s">
        <v>146</v>
      </c>
      <c r="C124" s="23">
        <v>0</v>
      </c>
      <c r="D124" s="23">
        <v>0</v>
      </c>
      <c r="E124" s="23">
        <v>0</v>
      </c>
      <c r="F124" s="11">
        <v>0</v>
      </c>
      <c r="G124" s="23">
        <v>0</v>
      </c>
      <c r="H124" s="23">
        <v>0</v>
      </c>
      <c r="I124" s="23">
        <v>0</v>
      </c>
      <c r="J124" s="11">
        <v>0</v>
      </c>
      <c r="K124" s="23">
        <v>0</v>
      </c>
      <c r="L124" s="23">
        <v>0</v>
      </c>
      <c r="M124" s="23">
        <v>0</v>
      </c>
      <c r="N124" s="11">
        <v>0</v>
      </c>
      <c r="O124" s="23">
        <v>0</v>
      </c>
      <c r="P124" s="23">
        <v>0</v>
      </c>
      <c r="Q124" s="23">
        <v>0</v>
      </c>
      <c r="R124" s="23">
        <v>0</v>
      </c>
    </row>
    <row r="125" spans="1:20" ht="19.5" customHeight="1">
      <c r="A125" s="371" t="s">
        <v>147</v>
      </c>
      <c r="B125" s="371"/>
      <c r="C125" s="11">
        <v>0.25804039809361257</v>
      </c>
      <c r="D125" s="11">
        <v>-1.2835139039265755</v>
      </c>
      <c r="E125" s="11">
        <v>-0.5247285574185554</v>
      </c>
      <c r="F125" s="11">
        <v>-1.5502020632515183</v>
      </c>
      <c r="G125" s="11">
        <v>-8.1491684519960472E-2</v>
      </c>
      <c r="H125" s="11">
        <v>-0.70973653650008117</v>
      </c>
      <c r="I125" s="11">
        <v>2.2899109549999253</v>
      </c>
      <c r="J125" s="11">
        <v>-5.1519329271634717E-2</v>
      </c>
      <c r="K125" s="11">
        <v>-2.0464710048250652</v>
      </c>
      <c r="L125" s="11">
        <v>-0.94772455703003899</v>
      </c>
      <c r="M125" s="11">
        <v>1.9543936929299406</v>
      </c>
      <c r="N125" s="11">
        <v>-1.0913211981967983</v>
      </c>
      <c r="O125" s="11">
        <v>-1.1906257999982017E-2</v>
      </c>
      <c r="P125" s="11">
        <v>0</v>
      </c>
      <c r="Q125" s="11">
        <v>0</v>
      </c>
      <c r="R125" s="11">
        <v>-1.1032274561969189</v>
      </c>
    </row>
    <row r="126" spans="1:20" ht="12" customHeight="1">
      <c r="A126" s="63" t="s">
        <v>148</v>
      </c>
      <c r="B126" s="64"/>
      <c r="C126" s="372"/>
      <c r="D126" s="372"/>
      <c r="E126" s="372"/>
      <c r="F126" s="11"/>
      <c r="G126" s="372"/>
      <c r="H126" s="372"/>
      <c r="I126" s="372"/>
      <c r="J126" s="11"/>
      <c r="K126" s="372"/>
      <c r="L126" s="372"/>
      <c r="M126" s="372"/>
      <c r="N126" s="11">
        <v>0</v>
      </c>
      <c r="O126" s="372"/>
      <c r="P126" s="372"/>
      <c r="Q126" s="373"/>
    </row>
    <row r="127" spans="1:20" ht="14">
      <c r="A127" s="63" t="s">
        <v>149</v>
      </c>
      <c r="B127" s="64"/>
      <c r="C127" s="374"/>
      <c r="D127" s="374"/>
      <c r="E127" s="374"/>
      <c r="F127" s="11"/>
      <c r="G127" s="374"/>
      <c r="H127" s="374"/>
      <c r="I127" s="374" t="s">
        <v>681</v>
      </c>
      <c r="J127" s="11"/>
      <c r="K127" s="374"/>
      <c r="L127" s="374"/>
      <c r="M127" s="374"/>
      <c r="N127" s="11">
        <v>0</v>
      </c>
      <c r="O127" s="374"/>
      <c r="P127" s="374"/>
      <c r="Q127" s="374"/>
      <c r="R127" s="9"/>
    </row>
    <row r="128" spans="1:20" ht="10.5" customHeight="1">
      <c r="A128" s="65" t="s">
        <v>150</v>
      </c>
      <c r="B128" s="64"/>
      <c r="C128" s="375"/>
      <c r="D128" s="375"/>
      <c r="E128" s="375"/>
      <c r="F128" s="11"/>
      <c r="G128" s="375"/>
      <c r="H128" s="375"/>
      <c r="I128" s="375"/>
      <c r="J128" s="11"/>
      <c r="K128" s="375"/>
      <c r="L128" s="375"/>
      <c r="M128" s="375"/>
      <c r="N128" s="11">
        <v>0</v>
      </c>
      <c r="O128" s="375"/>
      <c r="P128" s="375"/>
      <c r="Q128" s="375"/>
    </row>
    <row r="129" spans="4:100" ht="14">
      <c r="F129" s="11"/>
      <c r="J129" s="11"/>
      <c r="N129" s="11">
        <v>0</v>
      </c>
      <c r="Q129" t="s">
        <v>192</v>
      </c>
    </row>
    <row r="130" spans="4:100" ht="14">
      <c r="D130" s="376"/>
      <c r="F130" s="11"/>
      <c r="J130" s="11"/>
      <c r="N130" s="11">
        <v>0</v>
      </c>
    </row>
    <row r="131" spans="4:100" ht="14">
      <c r="D131" s="9"/>
      <c r="E131" s="9">
        <f>+D117+D118+D121</f>
        <v>52.472969869333298</v>
      </c>
      <c r="F131" s="11"/>
      <c r="J131" s="11"/>
      <c r="N131" s="11">
        <v>0</v>
      </c>
    </row>
    <row r="132" spans="4:100" ht="14">
      <c r="D132" s="376"/>
      <c r="F132" s="11"/>
      <c r="J132" s="11"/>
      <c r="N132" s="11">
        <v>0</v>
      </c>
    </row>
    <row r="133" spans="4:100" ht="14">
      <c r="D133" s="9"/>
      <c r="F133" s="11"/>
      <c r="H133" t="s">
        <v>682</v>
      </c>
      <c r="I133" t="s">
        <v>683</v>
      </c>
      <c r="J133" s="11"/>
      <c r="N133" s="11">
        <v>0</v>
      </c>
    </row>
    <row r="134" spans="4:100" ht="14">
      <c r="D134" s="377"/>
      <c r="F134" s="11"/>
      <c r="J134" s="11"/>
      <c r="N134" s="11">
        <v>0</v>
      </c>
    </row>
    <row r="135" spans="4:100" ht="14">
      <c r="D135" s="9"/>
      <c r="F135" s="11"/>
      <c r="J135" s="11"/>
      <c r="N135" s="11">
        <v>0</v>
      </c>
    </row>
    <row r="136" spans="4:100" ht="14">
      <c r="D136" s="9"/>
      <c r="F136" s="11"/>
      <c r="J136" s="11"/>
      <c r="N136" s="11">
        <v>0</v>
      </c>
      <c r="CV136" t="s">
        <v>697</v>
      </c>
    </row>
  </sheetData>
  <autoFilter ref="A1:R138" xr:uid="{00000000-0009-0000-0000-000003000000}"/>
  <mergeCells count="2">
    <mergeCell ref="B3:R3"/>
    <mergeCell ref="A5:B5"/>
  </mergeCells>
  <pageMargins left="0.70866141732283472" right="0.70866141732283472" top="0.74803149606299213" bottom="1.3385826771653544" header="0.31496062992125984" footer="0.31496062992125984"/>
  <pageSetup paperSize="9" scale="35" orientation="portrait" r:id="rId1"/>
  <rowBreaks count="1" manualBreakCount="1">
    <brk id="75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J121"/>
  <sheetViews>
    <sheetView view="pageBreakPreview" topLeftCell="A4" zoomScale="80" zoomScaleNormal="90" zoomScaleSheetLayoutView="80" zoomScalePageLayoutView="117" workbookViewId="0">
      <pane xSplit="2" ySplit="2" topLeftCell="C6" activePane="bottomRight" state="frozen"/>
      <selection activeCell="A4" sqref="A4"/>
      <selection pane="topRight" activeCell="C4" sqref="C4"/>
      <selection pane="bottomLeft" activeCell="A6" sqref="A6"/>
      <selection pane="bottomRight" activeCell="A80" sqref="A80:XFD80"/>
    </sheetView>
  </sheetViews>
  <sheetFormatPr baseColWidth="10" defaultColWidth="9.1640625" defaultRowHeight="13"/>
  <cols>
    <col min="1" max="1" width="6.5" customWidth="1"/>
    <col min="2" max="2" width="53.6640625" customWidth="1"/>
    <col min="3" max="6" width="12.6640625" hidden="1" customWidth="1"/>
    <col min="7" max="10" width="12.6640625" customWidth="1"/>
    <col min="11" max="11" width="9.33203125" hidden="1" customWidth="1"/>
    <col min="12" max="12" width="9.33203125" style="351" hidden="1" customWidth="1"/>
    <col min="13" max="41" width="11.33203125" customWidth="1"/>
  </cols>
  <sheetData>
    <row r="1" spans="1:88" ht="19.5" customHeight="1">
      <c r="A1" s="1" t="s">
        <v>0</v>
      </c>
      <c r="B1" s="3"/>
      <c r="C1" s="397"/>
      <c r="D1" s="397"/>
      <c r="E1" s="397"/>
      <c r="F1" s="3"/>
      <c r="G1" s="397"/>
      <c r="H1" s="397"/>
      <c r="I1" s="397"/>
      <c r="J1" s="397"/>
      <c r="K1" s="397"/>
      <c r="L1" s="398"/>
    </row>
    <row r="2" spans="1:88" ht="19.5" customHeight="1">
      <c r="A2" s="1" t="s">
        <v>1</v>
      </c>
      <c r="B2" s="3"/>
      <c r="C2" s="399"/>
      <c r="D2" s="400"/>
      <c r="E2" s="399"/>
      <c r="F2" s="399"/>
      <c r="G2" s="399"/>
      <c r="H2" s="400"/>
      <c r="I2" s="400"/>
      <c r="J2" s="400"/>
      <c r="K2" s="400"/>
      <c r="L2" s="401"/>
    </row>
    <row r="3" spans="1:88" ht="30.75" customHeight="1">
      <c r="A3" s="402" t="s">
        <v>2</v>
      </c>
      <c r="B3" s="403" t="s">
        <v>3</v>
      </c>
      <c r="C3" s="404"/>
      <c r="D3" s="404"/>
      <c r="E3" s="404"/>
      <c r="F3" s="405"/>
      <c r="L3" s="351" t="s">
        <v>698</v>
      </c>
      <c r="CJ3" t="e">
        <f>CI3/CH3-1</f>
        <v>#DIV/0!</v>
      </c>
    </row>
    <row r="4" spans="1:88" ht="15" customHeight="1">
      <c r="A4" s="406"/>
      <c r="B4" s="407"/>
      <c r="C4" s="408" t="s">
        <v>699</v>
      </c>
      <c r="D4" s="408" t="s">
        <v>700</v>
      </c>
      <c r="E4" s="408" t="s">
        <v>701</v>
      </c>
      <c r="F4" s="408" t="s">
        <v>702</v>
      </c>
      <c r="G4" s="408" t="s">
        <v>703</v>
      </c>
      <c r="H4" s="408" t="s">
        <v>704</v>
      </c>
      <c r="I4" s="408" t="s">
        <v>705</v>
      </c>
      <c r="J4" s="408" t="s">
        <v>706</v>
      </c>
      <c r="K4" s="408" t="s">
        <v>707</v>
      </c>
      <c r="L4" s="409" t="s">
        <v>698</v>
      </c>
    </row>
    <row r="5" spans="1:88" s="414" customFormat="1">
      <c r="A5" s="410"/>
      <c r="B5" s="411" t="s">
        <v>5</v>
      </c>
      <c r="C5" s="412"/>
      <c r="D5" s="412"/>
      <c r="E5" s="412"/>
      <c r="F5" s="412"/>
      <c r="G5" s="412"/>
      <c r="H5" s="412"/>
      <c r="I5" s="412"/>
      <c r="J5" s="412"/>
      <c r="K5" s="412"/>
      <c r="L5" s="413"/>
    </row>
    <row r="6" spans="1:88" s="420" customFormat="1">
      <c r="A6" s="415" t="s">
        <v>6</v>
      </c>
      <c r="B6" s="416" t="s">
        <v>677</v>
      </c>
      <c r="C6" s="417">
        <v>494.68758382999994</v>
      </c>
      <c r="D6" s="417">
        <v>1295.17191653894</v>
      </c>
      <c r="E6" s="417">
        <v>2007.4766568271734</v>
      </c>
      <c r="F6" s="417">
        <v>2978.4756921510057</v>
      </c>
      <c r="G6" s="417">
        <v>702.73074390544321</v>
      </c>
      <c r="H6" s="417">
        <v>1644.3348570017122</v>
      </c>
      <c r="I6" s="417">
        <v>2514.4138405964122</v>
      </c>
      <c r="J6" s="417">
        <v>3545.7302880361831</v>
      </c>
      <c r="K6" s="417">
        <f>+J6-F6</f>
        <v>567.25459588517742</v>
      </c>
      <c r="L6" s="418">
        <f>+J6/F6-1</f>
        <v>0.19045130950036926</v>
      </c>
      <c r="M6" s="419"/>
      <c r="N6" s="419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/>
      <c r="AT6" s="414"/>
      <c r="AU6" s="414"/>
      <c r="AV6" s="414"/>
      <c r="AW6" s="414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4"/>
      <c r="BI6" s="414"/>
      <c r="BJ6" s="414"/>
      <c r="BK6" s="414"/>
      <c r="BL6" s="414"/>
      <c r="BM6" s="414"/>
      <c r="BN6" s="414"/>
      <c r="BO6" s="414"/>
      <c r="BP6" s="414"/>
      <c r="BQ6" s="414"/>
      <c r="BR6" s="414"/>
      <c r="BS6" s="414"/>
      <c r="BT6" s="414"/>
    </row>
    <row r="7" spans="1:88" s="414" customFormat="1">
      <c r="A7" s="421" t="s">
        <v>8</v>
      </c>
      <c r="B7" s="422" t="s">
        <v>9</v>
      </c>
      <c r="C7" s="423">
        <v>467.19719371899998</v>
      </c>
      <c r="D7" s="423">
        <v>1157.0281081169401</v>
      </c>
      <c r="E7" s="423">
        <v>1828.03133373984</v>
      </c>
      <c r="F7" s="423">
        <v>2583.5663637014491</v>
      </c>
      <c r="G7" s="423">
        <v>659.85019786760995</v>
      </c>
      <c r="H7" s="417">
        <v>1506.88847424859</v>
      </c>
      <c r="I7" s="423">
        <v>2263.5911820062902</v>
      </c>
      <c r="J7" s="417">
        <v>3133.9532110873502</v>
      </c>
      <c r="K7" s="417">
        <f t="shared" ref="K7:K70" si="0">+J7-F7</f>
        <v>550.38684738590109</v>
      </c>
      <c r="L7" s="418">
        <f t="shared" ref="L7:L70" si="1">+J7/F7-1</f>
        <v>0.21303375640692557</v>
      </c>
      <c r="M7" s="424"/>
    </row>
    <row r="8" spans="1:88" s="427" customFormat="1">
      <c r="A8" s="425" t="s">
        <v>10</v>
      </c>
      <c r="B8" s="425" t="s">
        <v>11</v>
      </c>
      <c r="C8" s="426">
        <v>159.14328494199998</v>
      </c>
      <c r="D8" s="426">
        <v>404.60017331928998</v>
      </c>
      <c r="E8" s="426">
        <v>579.05828646428995</v>
      </c>
      <c r="F8" s="426">
        <v>771.47792876849996</v>
      </c>
      <c r="G8" s="426">
        <v>223.27138558291</v>
      </c>
      <c r="H8" s="417">
        <v>537.01940126938007</v>
      </c>
      <c r="I8" s="426">
        <v>784.52103345448006</v>
      </c>
      <c r="J8" s="417">
        <v>985.34285063937</v>
      </c>
      <c r="K8" s="417">
        <f t="shared" si="0"/>
        <v>213.86492187087003</v>
      </c>
      <c r="L8" s="418">
        <f t="shared" si="1"/>
        <v>0.27721456945924539</v>
      </c>
    </row>
    <row r="9" spans="1:88" s="430" customFormat="1" ht="14">
      <c r="A9" s="421"/>
      <c r="B9" s="428" t="s">
        <v>12</v>
      </c>
      <c r="C9" s="429">
        <v>81.233730117999997</v>
      </c>
      <c r="D9" s="429">
        <v>231.67707029229001</v>
      </c>
      <c r="E9" s="429">
        <v>303.81420525429002</v>
      </c>
      <c r="F9" s="429">
        <v>340.45785803199999</v>
      </c>
      <c r="G9" s="429">
        <v>104.50146632191002</v>
      </c>
      <c r="H9" s="417">
        <v>291.78822142039002</v>
      </c>
      <c r="I9" s="429">
        <v>407.51306673212002</v>
      </c>
      <c r="J9" s="417">
        <v>450.24202557402003</v>
      </c>
      <c r="K9" s="417">
        <f t="shared" si="0"/>
        <v>109.78416754202004</v>
      </c>
      <c r="L9" s="418">
        <f t="shared" si="1"/>
        <v>0.32246037197267841</v>
      </c>
    </row>
    <row r="10" spans="1:88" s="430" customFormat="1" ht="14">
      <c r="A10" s="421"/>
      <c r="B10" s="428" t="s">
        <v>13</v>
      </c>
      <c r="C10" s="429">
        <v>77.909479823999988</v>
      </c>
      <c r="D10" s="429">
        <v>171.20294308699997</v>
      </c>
      <c r="E10" s="429">
        <v>271.27839061999998</v>
      </c>
      <c r="F10" s="429">
        <v>424.10625249749995</v>
      </c>
      <c r="G10" s="429">
        <v>118.758739535</v>
      </c>
      <c r="H10" s="417">
        <v>241.39673337699003</v>
      </c>
      <c r="I10" s="429">
        <v>370.14759321736005</v>
      </c>
      <c r="J10" s="417">
        <v>525.08381981435002</v>
      </c>
      <c r="K10" s="417">
        <f t="shared" si="0"/>
        <v>100.97756731685007</v>
      </c>
      <c r="L10" s="418">
        <f t="shared" si="1"/>
        <v>0.23809497436599414</v>
      </c>
    </row>
    <row r="11" spans="1:88" s="414" customFormat="1" ht="13.5" customHeight="1">
      <c r="A11" s="421"/>
      <c r="B11" s="428" t="s">
        <v>14</v>
      </c>
      <c r="C11" s="429">
        <v>10.698738899</v>
      </c>
      <c r="D11" s="429">
        <v>23.675028494000003</v>
      </c>
      <c r="E11" s="429">
        <v>35.945412292</v>
      </c>
      <c r="F11" s="429">
        <v>48.199579469000007</v>
      </c>
      <c r="G11" s="429">
        <v>11.830384076000001</v>
      </c>
      <c r="H11" s="417">
        <v>23.562653783000002</v>
      </c>
      <c r="I11" s="429">
        <v>35.944320359000002</v>
      </c>
      <c r="J11" s="417">
        <v>48.930051524000007</v>
      </c>
      <c r="K11" s="417">
        <f t="shared" si="0"/>
        <v>0.7304720549999999</v>
      </c>
      <c r="L11" s="418">
        <f t="shared" si="1"/>
        <v>1.5155154112284519E-2</v>
      </c>
    </row>
    <row r="12" spans="1:88" s="427" customFormat="1" ht="18" customHeight="1">
      <c r="A12" s="425" t="s">
        <v>15</v>
      </c>
      <c r="B12" s="425" t="s">
        <v>16</v>
      </c>
      <c r="C12" s="426">
        <v>8.2809609689999988</v>
      </c>
      <c r="D12" s="426">
        <v>15.9967650395</v>
      </c>
      <c r="E12" s="426">
        <v>24.3871664451</v>
      </c>
      <c r="F12" s="426">
        <v>33.062512137100001</v>
      </c>
      <c r="G12" s="426">
        <v>10.1248952917</v>
      </c>
      <c r="H12" s="417">
        <v>19.022675561709999</v>
      </c>
      <c r="I12" s="426">
        <v>28.376940046309997</v>
      </c>
      <c r="J12" s="417">
        <v>38.238699093189993</v>
      </c>
      <c r="K12" s="417">
        <f t="shared" si="0"/>
        <v>5.1761869560899925</v>
      </c>
      <c r="L12" s="418">
        <f t="shared" si="1"/>
        <v>0.15655758203205949</v>
      </c>
      <c r="N12" s="431"/>
    </row>
    <row r="13" spans="1:88" s="427" customFormat="1" ht="12.75" hidden="1" customHeight="1">
      <c r="A13" s="425"/>
      <c r="B13" s="432" t="s">
        <v>678</v>
      </c>
      <c r="C13" s="426">
        <v>6.0112518422499992</v>
      </c>
      <c r="D13" s="426">
        <v>11.444705860499999</v>
      </c>
      <c r="E13" s="426">
        <v>17.502801927099998</v>
      </c>
      <c r="F13" s="426">
        <v>23.215597164099997</v>
      </c>
      <c r="G13" s="426"/>
      <c r="H13" s="417">
        <v>0</v>
      </c>
      <c r="I13" s="426">
        <v>0</v>
      </c>
      <c r="J13" s="417">
        <v>0</v>
      </c>
      <c r="K13" s="417">
        <f t="shared" si="0"/>
        <v>-23.215597164099997</v>
      </c>
      <c r="L13" s="418">
        <f t="shared" si="1"/>
        <v>-1</v>
      </c>
    </row>
    <row r="14" spans="1:88" s="427" customFormat="1" ht="15.75" customHeight="1">
      <c r="A14" s="425" t="s">
        <v>17</v>
      </c>
      <c r="B14" s="425" t="s">
        <v>18</v>
      </c>
      <c r="C14" s="426">
        <v>7.99906351</v>
      </c>
      <c r="D14" s="426">
        <v>34.624722781999999</v>
      </c>
      <c r="E14" s="426">
        <v>43.558285226000002</v>
      </c>
      <c r="F14" s="426">
        <v>55.474567048000004</v>
      </c>
      <c r="G14" s="426">
        <v>21.770366213999999</v>
      </c>
      <c r="H14" s="417">
        <v>31.960797806999999</v>
      </c>
      <c r="I14" s="426">
        <v>40.088014072</v>
      </c>
      <c r="J14" s="417">
        <v>52.665298086999996</v>
      </c>
      <c r="K14" s="417">
        <f t="shared" si="0"/>
        <v>-2.8092689610000079</v>
      </c>
      <c r="L14" s="418">
        <f t="shared" si="1"/>
        <v>-5.0640664911710931E-2</v>
      </c>
    </row>
    <row r="15" spans="1:88" s="427" customFormat="1" ht="15.75" customHeight="1">
      <c r="A15" s="425" t="s">
        <v>19</v>
      </c>
      <c r="B15" s="425" t="s">
        <v>20</v>
      </c>
      <c r="C15" s="426">
        <v>217.35926962399998</v>
      </c>
      <c r="D15" s="426">
        <v>527.48624468014998</v>
      </c>
      <c r="E15" s="426">
        <v>888.12950919044999</v>
      </c>
      <c r="F15" s="426">
        <v>1293.04586622585</v>
      </c>
      <c r="G15" s="426">
        <v>299.58787337900003</v>
      </c>
      <c r="H15" s="417">
        <v>688.26827867550003</v>
      </c>
      <c r="I15" s="426">
        <v>1046.0381950195001</v>
      </c>
      <c r="J15" s="417">
        <v>1516.6037566107902</v>
      </c>
      <c r="K15" s="417">
        <f t="shared" si="0"/>
        <v>223.55789038494026</v>
      </c>
      <c r="L15" s="418">
        <f t="shared" si="1"/>
        <v>0.17289246748644915</v>
      </c>
    </row>
    <row r="16" spans="1:88" s="435" customFormat="1" ht="14">
      <c r="A16" s="433"/>
      <c r="B16" s="433" t="s">
        <v>21</v>
      </c>
      <c r="C16" s="429">
        <v>56.180854659000005</v>
      </c>
      <c r="D16" s="429">
        <v>144.94685714600001</v>
      </c>
      <c r="E16" s="429">
        <v>242.46248358800005</v>
      </c>
      <c r="F16" s="429">
        <v>341.39084548700004</v>
      </c>
      <c r="G16" s="429">
        <v>88.032727875999996</v>
      </c>
      <c r="H16" s="417">
        <v>172.27699373999999</v>
      </c>
      <c r="I16" s="429">
        <v>259.79585279700001</v>
      </c>
      <c r="J16" s="417">
        <v>408.02717908529002</v>
      </c>
      <c r="K16" s="417">
        <f t="shared" si="0"/>
        <v>66.63633359828998</v>
      </c>
      <c r="L16" s="418">
        <f t="shared" si="1"/>
        <v>0.19519074538519643</v>
      </c>
      <c r="M16" s="434"/>
    </row>
    <row r="17" spans="1:14" s="366" customFormat="1" ht="12.75" hidden="1" customHeight="1">
      <c r="A17" s="436"/>
      <c r="B17" s="437" t="s">
        <v>22</v>
      </c>
      <c r="C17" s="438">
        <v>0</v>
      </c>
      <c r="D17" s="438">
        <v>0</v>
      </c>
      <c r="E17" s="438">
        <v>0</v>
      </c>
      <c r="F17" s="438">
        <v>0</v>
      </c>
      <c r="G17" s="438"/>
      <c r="H17" s="417">
        <v>0</v>
      </c>
      <c r="I17" s="438">
        <v>0</v>
      </c>
      <c r="J17" s="417">
        <v>0</v>
      </c>
      <c r="K17" s="417">
        <f t="shared" si="0"/>
        <v>0</v>
      </c>
      <c r="L17" s="418" t="e">
        <f t="shared" si="1"/>
        <v>#DIV/0!</v>
      </c>
    </row>
    <row r="18" spans="1:14" s="366" customFormat="1">
      <c r="A18" s="433"/>
      <c r="B18" s="433" t="s">
        <v>23</v>
      </c>
      <c r="C18" s="429">
        <v>83.64</v>
      </c>
      <c r="D18" s="429">
        <v>205.74</v>
      </c>
      <c r="E18" s="429">
        <v>367.52</v>
      </c>
      <c r="F18" s="429">
        <v>572.1099999999999</v>
      </c>
      <c r="G18" s="429">
        <v>108.63</v>
      </c>
      <c r="H18" s="417">
        <v>242.69</v>
      </c>
      <c r="I18" s="429">
        <v>388.74</v>
      </c>
      <c r="J18" s="417">
        <v>587.37</v>
      </c>
      <c r="K18" s="417">
        <f t="shared" si="0"/>
        <v>15.260000000000105</v>
      </c>
      <c r="L18" s="418">
        <f t="shared" si="1"/>
        <v>2.6673192218279906E-2</v>
      </c>
    </row>
    <row r="19" spans="1:14" s="366" customFormat="1" ht="12.75" hidden="1" customHeight="1">
      <c r="A19" s="433"/>
      <c r="B19" s="433" t="s">
        <v>24</v>
      </c>
      <c r="C19" s="429"/>
      <c r="D19" s="429"/>
      <c r="E19" s="429"/>
      <c r="F19" s="429"/>
      <c r="G19" s="429"/>
      <c r="H19" s="417">
        <v>0</v>
      </c>
      <c r="I19" s="429">
        <v>0</v>
      </c>
      <c r="J19" s="417">
        <v>0</v>
      </c>
      <c r="K19" s="417">
        <f t="shared" si="0"/>
        <v>0</v>
      </c>
      <c r="L19" s="418" t="e">
        <f t="shared" si="1"/>
        <v>#DIV/0!</v>
      </c>
    </row>
    <row r="20" spans="1:14" s="366" customFormat="1">
      <c r="A20" s="433"/>
      <c r="B20" s="433" t="s">
        <v>25</v>
      </c>
      <c r="C20" s="429">
        <v>33.753026845999997</v>
      </c>
      <c r="D20" s="429">
        <v>55.523847510999992</v>
      </c>
      <c r="E20" s="429">
        <v>72.505480989000006</v>
      </c>
      <c r="F20" s="429">
        <v>89.593387668999995</v>
      </c>
      <c r="G20" s="429">
        <v>7.4616343260000004</v>
      </c>
      <c r="H20" s="417">
        <v>69.590161703999996</v>
      </c>
      <c r="I20" s="429">
        <v>83.690267723999995</v>
      </c>
      <c r="J20" s="417">
        <v>92.532026403999993</v>
      </c>
      <c r="K20" s="417">
        <f t="shared" si="0"/>
        <v>2.9386387349999978</v>
      </c>
      <c r="L20" s="418">
        <f t="shared" si="1"/>
        <v>3.2799727875640894E-2</v>
      </c>
    </row>
    <row r="21" spans="1:14" s="427" customFormat="1" ht="28">
      <c r="A21" s="425" t="s">
        <v>26</v>
      </c>
      <c r="B21" s="439" t="s">
        <v>27</v>
      </c>
      <c r="C21" s="426">
        <v>66.039999999999992</v>
      </c>
      <c r="D21" s="426">
        <v>154.88</v>
      </c>
      <c r="E21" s="426">
        <v>261.56</v>
      </c>
      <c r="F21" s="426">
        <v>392.61</v>
      </c>
      <c r="G21" s="426">
        <v>94.97999999999999</v>
      </c>
      <c r="H21" s="417">
        <v>209.85</v>
      </c>
      <c r="I21" s="426">
        <v>332.53999999999996</v>
      </c>
      <c r="J21" s="417">
        <v>497.2</v>
      </c>
      <c r="K21" s="417">
        <f t="shared" si="0"/>
        <v>104.58999999999997</v>
      </c>
      <c r="L21" s="418">
        <f t="shared" si="1"/>
        <v>0.26639667863783401</v>
      </c>
    </row>
    <row r="22" spans="1:14" s="427" customFormat="1" ht="12.75" hidden="1" customHeight="1">
      <c r="A22" s="425"/>
      <c r="B22" s="425" t="s">
        <v>708</v>
      </c>
      <c r="C22" s="426">
        <v>0</v>
      </c>
      <c r="D22" s="426">
        <v>0</v>
      </c>
      <c r="E22" s="426">
        <v>3.77</v>
      </c>
      <c r="F22" s="426">
        <v>19.489999999999998</v>
      </c>
      <c r="G22" s="426"/>
      <c r="H22" s="417">
        <v>0</v>
      </c>
      <c r="I22" s="426">
        <v>0</v>
      </c>
      <c r="J22" s="417">
        <v>0</v>
      </c>
      <c r="K22" s="417">
        <f t="shared" si="0"/>
        <v>-19.489999999999998</v>
      </c>
      <c r="L22" s="418">
        <f t="shared" si="1"/>
        <v>-1</v>
      </c>
    </row>
    <row r="23" spans="1:14" s="435" customFormat="1" ht="14.25" hidden="1" customHeight="1">
      <c r="A23" s="433"/>
      <c r="B23" s="433" t="s">
        <v>28</v>
      </c>
      <c r="C23" s="429">
        <v>0</v>
      </c>
      <c r="D23" s="429">
        <v>0</v>
      </c>
      <c r="E23" s="429">
        <v>0</v>
      </c>
      <c r="F23" s="429"/>
      <c r="G23" s="429"/>
      <c r="H23" s="417">
        <v>0</v>
      </c>
      <c r="I23" s="429">
        <v>0</v>
      </c>
      <c r="J23" s="417">
        <v>0</v>
      </c>
      <c r="K23" s="417">
        <f t="shared" si="0"/>
        <v>0</v>
      </c>
      <c r="L23" s="418" t="e">
        <f t="shared" si="1"/>
        <v>#DIV/0!</v>
      </c>
    </row>
    <row r="24" spans="1:14" s="414" customFormat="1">
      <c r="A24" s="421" t="s">
        <v>29</v>
      </c>
      <c r="B24" s="415" t="s">
        <v>30</v>
      </c>
      <c r="C24" s="417">
        <v>8.374614674</v>
      </c>
      <c r="D24" s="417">
        <v>19.440202296000002</v>
      </c>
      <c r="E24" s="417">
        <v>31.338086413999999</v>
      </c>
      <c r="F24" s="417">
        <v>47.464486764</v>
      </c>
      <c r="G24" s="417">
        <v>10.115677399999999</v>
      </c>
      <c r="H24" s="417">
        <v>20.767320935000001</v>
      </c>
      <c r="I24" s="417">
        <v>32.026999414000002</v>
      </c>
      <c r="J24" s="417">
        <v>43.902606657</v>
      </c>
      <c r="K24" s="417">
        <f t="shared" si="0"/>
        <v>-3.5618801070000004</v>
      </c>
      <c r="L24" s="418">
        <f t="shared" si="1"/>
        <v>-7.5043055341779241E-2</v>
      </c>
    </row>
    <row r="25" spans="1:14" s="427" customFormat="1">
      <c r="A25" s="425" t="s">
        <v>31</v>
      </c>
      <c r="B25" s="440" t="s">
        <v>32</v>
      </c>
      <c r="C25" s="426">
        <v>0</v>
      </c>
      <c r="D25" s="426">
        <v>0</v>
      </c>
      <c r="E25" s="426">
        <v>0</v>
      </c>
      <c r="F25" s="426">
        <v>0</v>
      </c>
      <c r="G25" s="426">
        <v>0</v>
      </c>
      <c r="H25" s="417">
        <v>0</v>
      </c>
      <c r="I25" s="426">
        <v>0</v>
      </c>
      <c r="J25" s="417">
        <v>0</v>
      </c>
      <c r="K25" s="417">
        <f t="shared" si="0"/>
        <v>0</v>
      </c>
      <c r="L25" s="418" t="e">
        <f t="shared" si="1"/>
        <v>#DIV/0!</v>
      </c>
    </row>
    <row r="26" spans="1:14" s="442" customFormat="1" ht="14">
      <c r="A26" s="415" t="s">
        <v>33</v>
      </c>
      <c r="B26" s="441" t="s">
        <v>34</v>
      </c>
      <c r="C26" s="417">
        <v>10.399999999999999</v>
      </c>
      <c r="D26" s="417">
        <v>57.236073114999996</v>
      </c>
      <c r="E26" s="417">
        <v>77.776084741333335</v>
      </c>
      <c r="F26" s="417">
        <v>130.61032027555558</v>
      </c>
      <c r="G26" s="417">
        <v>9.5640000000000001</v>
      </c>
      <c r="H26" s="417">
        <v>84.724833333288899</v>
      </c>
      <c r="I26" s="417">
        <v>131.61372222228891</v>
      </c>
      <c r="J26" s="417">
        <v>155.31595610700003</v>
      </c>
      <c r="K26" s="417">
        <f t="shared" si="0"/>
        <v>24.705635831444454</v>
      </c>
      <c r="L26" s="418">
        <f t="shared" si="1"/>
        <v>0.1891553116118363</v>
      </c>
    </row>
    <row r="27" spans="1:14" s="435" customFormat="1" ht="14">
      <c r="A27" s="433"/>
      <c r="B27" s="428" t="s">
        <v>35</v>
      </c>
      <c r="C27" s="429">
        <v>0</v>
      </c>
      <c r="D27" s="429">
        <v>11.576038236</v>
      </c>
      <c r="E27" s="429">
        <v>11.576038236</v>
      </c>
      <c r="F27" s="429">
        <v>17.102475961</v>
      </c>
      <c r="G27" s="429">
        <v>0.56399999999999995</v>
      </c>
      <c r="H27" s="417">
        <v>5.3914999999999997</v>
      </c>
      <c r="I27" s="429">
        <v>5.3914999999999997</v>
      </c>
      <c r="J27" s="417">
        <v>23.415956107</v>
      </c>
      <c r="K27" s="417">
        <f t="shared" si="0"/>
        <v>6.3134801459999998</v>
      </c>
      <c r="L27" s="418">
        <f t="shared" si="1"/>
        <v>0.3691559140557823</v>
      </c>
    </row>
    <row r="28" spans="1:14" s="435" customFormat="1" ht="14">
      <c r="A28" s="433"/>
      <c r="B28" s="428" t="s">
        <v>36</v>
      </c>
      <c r="C28" s="429">
        <v>10.399999999999999</v>
      </c>
      <c r="D28" s="429">
        <v>45.660034878999994</v>
      </c>
      <c r="E28" s="429">
        <v>66.200046505333319</v>
      </c>
      <c r="F28" s="429">
        <v>113.50784431455554</v>
      </c>
      <c r="G28" s="429">
        <v>9</v>
      </c>
      <c r="H28" s="417">
        <v>79.333333333288891</v>
      </c>
      <c r="I28" s="429">
        <v>126.22222222228889</v>
      </c>
      <c r="J28" s="417">
        <v>131.9</v>
      </c>
      <c r="K28" s="417">
        <f t="shared" si="0"/>
        <v>18.392155685444465</v>
      </c>
      <c r="L28" s="418">
        <f t="shared" si="1"/>
        <v>0.16203422588553185</v>
      </c>
    </row>
    <row r="29" spans="1:14" s="427" customFormat="1">
      <c r="A29" s="425" t="s">
        <v>37</v>
      </c>
      <c r="B29" s="440" t="s">
        <v>38</v>
      </c>
      <c r="C29" s="426">
        <v>17.090390111000001</v>
      </c>
      <c r="D29" s="426">
        <v>80.90773530700001</v>
      </c>
      <c r="E29" s="426">
        <v>101.66923834600001</v>
      </c>
      <c r="F29" s="426">
        <v>254.730010932</v>
      </c>
      <c r="G29" s="426">
        <v>33.316546037833334</v>
      </c>
      <c r="H29" s="417">
        <v>52.721549419833337</v>
      </c>
      <c r="I29" s="426">
        <v>119.20893636783333</v>
      </c>
      <c r="J29" s="417">
        <v>256.46112084183335</v>
      </c>
      <c r="K29" s="417">
        <f t="shared" si="0"/>
        <v>1.73110990983335</v>
      </c>
      <c r="L29" s="418">
        <f t="shared" si="1"/>
        <v>6.7958616399363958E-3</v>
      </c>
      <c r="M29" s="431"/>
      <c r="N29" s="431"/>
    </row>
    <row r="30" spans="1:14" s="435" customFormat="1" ht="14">
      <c r="A30" s="433"/>
      <c r="B30" s="428" t="s">
        <v>39</v>
      </c>
      <c r="C30" s="429">
        <v>0</v>
      </c>
      <c r="D30" s="429">
        <v>28.879483622999999</v>
      </c>
      <c r="E30" s="429">
        <v>30.394638118</v>
      </c>
      <c r="F30" s="429">
        <v>129.33899579799998</v>
      </c>
      <c r="G30" s="429">
        <v>3.528</v>
      </c>
      <c r="H30" s="417">
        <v>6.6780000000000008</v>
      </c>
      <c r="I30" s="429">
        <v>54.455807113000006</v>
      </c>
      <c r="J30" s="417">
        <v>55.327807113000006</v>
      </c>
      <c r="K30" s="417">
        <f t="shared" si="0"/>
        <v>-74.011188684999979</v>
      </c>
      <c r="L30" s="418">
        <f t="shared" si="1"/>
        <v>-0.57222640572058969</v>
      </c>
    </row>
    <row r="31" spans="1:14" s="435" customFormat="1" ht="14.25" hidden="1" customHeight="1">
      <c r="A31" s="433"/>
      <c r="B31" s="428" t="s">
        <v>40</v>
      </c>
      <c r="C31" s="429">
        <v>0</v>
      </c>
      <c r="D31" s="429">
        <v>0</v>
      </c>
      <c r="E31" s="429">
        <v>0</v>
      </c>
      <c r="F31" s="429">
        <v>0</v>
      </c>
      <c r="G31" s="429"/>
      <c r="H31" s="417">
        <v>0</v>
      </c>
      <c r="I31" s="429">
        <v>0</v>
      </c>
      <c r="J31" s="417">
        <v>0</v>
      </c>
      <c r="K31" s="417">
        <f t="shared" si="0"/>
        <v>0</v>
      </c>
      <c r="L31" s="418" t="e">
        <f t="shared" si="1"/>
        <v>#DIV/0!</v>
      </c>
    </row>
    <row r="32" spans="1:14" s="435" customFormat="1" ht="14.25" hidden="1" customHeight="1">
      <c r="A32" s="433"/>
      <c r="B32" s="428" t="s">
        <v>41</v>
      </c>
      <c r="C32" s="429">
        <v>0</v>
      </c>
      <c r="D32" s="429">
        <v>0</v>
      </c>
      <c r="E32" s="429">
        <v>0</v>
      </c>
      <c r="F32" s="429">
        <v>0</v>
      </c>
      <c r="G32" s="429"/>
      <c r="H32" s="417">
        <v>0</v>
      </c>
      <c r="I32" s="429">
        <v>0</v>
      </c>
      <c r="J32" s="417">
        <v>0</v>
      </c>
      <c r="K32" s="417">
        <f t="shared" si="0"/>
        <v>0</v>
      </c>
      <c r="L32" s="418" t="e">
        <f t="shared" si="1"/>
        <v>#DIV/0!</v>
      </c>
    </row>
    <row r="33" spans="1:72" s="435" customFormat="1" ht="14">
      <c r="A33" s="433"/>
      <c r="B33" s="428" t="s">
        <v>42</v>
      </c>
      <c r="C33" s="429">
        <v>17.090390111000001</v>
      </c>
      <c r="D33" s="429">
        <v>52.028251684000004</v>
      </c>
      <c r="E33" s="429">
        <v>71.274600228000011</v>
      </c>
      <c r="F33" s="429">
        <v>125.39101513400001</v>
      </c>
      <c r="G33" s="429">
        <v>29.788546037833335</v>
      </c>
      <c r="H33" s="417">
        <v>46.043549419833333</v>
      </c>
      <c r="I33" s="429">
        <v>64.75312925483334</v>
      </c>
      <c r="J33" s="417">
        <v>201.13331372883334</v>
      </c>
      <c r="K33" s="417">
        <f t="shared" si="0"/>
        <v>75.742298594833329</v>
      </c>
      <c r="L33" s="418">
        <f t="shared" si="1"/>
        <v>0.60404885081989956</v>
      </c>
    </row>
    <row r="34" spans="1:72" s="420" customFormat="1" ht="12.75" customHeight="1">
      <c r="A34" s="415" t="s">
        <v>43</v>
      </c>
      <c r="B34" s="416" t="s">
        <v>44</v>
      </c>
      <c r="C34" s="417">
        <v>809.97244953717529</v>
      </c>
      <c r="D34" s="417">
        <v>1528.1721428581152</v>
      </c>
      <c r="E34" s="417">
        <v>2458.2676808537358</v>
      </c>
      <c r="F34" s="417">
        <v>3216.2225567947858</v>
      </c>
      <c r="G34" s="417">
        <v>1216.7555885535635</v>
      </c>
      <c r="H34" s="417">
        <v>2136.3564692865634</v>
      </c>
      <c r="I34" s="417">
        <v>3009.5465724161886</v>
      </c>
      <c r="J34" s="417">
        <v>4173.0274690349615</v>
      </c>
      <c r="K34" s="417">
        <f t="shared" si="0"/>
        <v>956.80491224017578</v>
      </c>
      <c r="L34" s="418">
        <f t="shared" si="1"/>
        <v>0.29749337781950813</v>
      </c>
      <c r="M34" s="419"/>
      <c r="N34" s="419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14"/>
      <c r="BT34" s="414"/>
    </row>
    <row r="35" spans="1:72" s="414" customFormat="1" ht="12.75" customHeight="1">
      <c r="A35" s="421" t="s">
        <v>45</v>
      </c>
      <c r="B35" s="422" t="s">
        <v>46</v>
      </c>
      <c r="C35" s="423">
        <v>209.04345280299998</v>
      </c>
      <c r="D35" s="423">
        <v>432.00278291899997</v>
      </c>
      <c r="E35" s="423">
        <v>659.62778502099991</v>
      </c>
      <c r="F35" s="423">
        <v>885.78023550105002</v>
      </c>
      <c r="G35" s="423">
        <v>227.17320700099998</v>
      </c>
      <c r="H35" s="417">
        <v>499.48600087199998</v>
      </c>
      <c r="I35" s="423">
        <v>799.25725065899996</v>
      </c>
      <c r="J35" s="417">
        <v>1102.8516327259999</v>
      </c>
      <c r="K35" s="417">
        <f t="shared" si="0"/>
        <v>217.07139722494992</v>
      </c>
      <c r="L35" s="418">
        <f t="shared" si="1"/>
        <v>0.24506236256463931</v>
      </c>
      <c r="M35" s="443"/>
      <c r="N35" s="443"/>
      <c r="O35" s="443"/>
      <c r="P35" s="443"/>
      <c r="Q35" s="443"/>
      <c r="R35" s="443"/>
      <c r="S35" s="443"/>
    </row>
    <row r="36" spans="1:72" s="414" customFormat="1" ht="12.75" customHeight="1">
      <c r="A36" s="421" t="s">
        <v>47</v>
      </c>
      <c r="B36" s="422" t="s">
        <v>48</v>
      </c>
      <c r="C36" s="423">
        <v>54.880546221000003</v>
      </c>
      <c r="D36" s="423">
        <v>128.868520561</v>
      </c>
      <c r="E36" s="423">
        <v>299.20325800500001</v>
      </c>
      <c r="F36" s="423">
        <v>377.00235846300001</v>
      </c>
      <c r="G36" s="423">
        <v>97.418036449999988</v>
      </c>
      <c r="H36" s="417">
        <v>195.54249656799999</v>
      </c>
      <c r="I36" s="423">
        <v>293.03639662</v>
      </c>
      <c r="J36" s="417">
        <v>373.74528615700001</v>
      </c>
      <c r="K36" s="417">
        <f t="shared" si="0"/>
        <v>-3.2570723059999978</v>
      </c>
      <c r="L36" s="418">
        <f t="shared" si="1"/>
        <v>-8.6393950406006281E-3</v>
      </c>
      <c r="M36" s="444"/>
      <c r="N36" s="419"/>
      <c r="O36" s="443"/>
      <c r="P36" s="443"/>
      <c r="Q36" s="443"/>
      <c r="R36" s="443"/>
      <c r="S36" s="443"/>
    </row>
    <row r="37" spans="1:72" s="435" customFormat="1" ht="15" hidden="1" customHeight="1">
      <c r="A37" s="433"/>
      <c r="B37" s="428" t="s">
        <v>49</v>
      </c>
      <c r="C37" s="429">
        <v>0</v>
      </c>
      <c r="D37" s="429">
        <v>0</v>
      </c>
      <c r="E37" s="429">
        <v>0</v>
      </c>
      <c r="F37" s="429">
        <v>0</v>
      </c>
      <c r="G37" s="429"/>
      <c r="H37" s="417">
        <v>0</v>
      </c>
      <c r="I37" s="429">
        <v>0</v>
      </c>
      <c r="J37" s="417">
        <v>0</v>
      </c>
      <c r="K37" s="417">
        <f t="shared" si="0"/>
        <v>0</v>
      </c>
      <c r="L37" s="418" t="e">
        <f t="shared" si="1"/>
        <v>#DIV/0!</v>
      </c>
    </row>
    <row r="38" spans="1:72" s="435" customFormat="1" ht="15" customHeight="1">
      <c r="A38" s="433"/>
      <c r="B38" s="428" t="s">
        <v>50</v>
      </c>
      <c r="C38" s="429">
        <v>3.0733201320000001</v>
      </c>
      <c r="D38" s="429">
        <v>6.3328711169999998</v>
      </c>
      <c r="E38" s="429">
        <v>6.9799916519999989</v>
      </c>
      <c r="F38" s="429">
        <v>8.3636404679999981</v>
      </c>
      <c r="G38" s="429">
        <v>0.15740126199999999</v>
      </c>
      <c r="H38" s="417">
        <v>1.231025815</v>
      </c>
      <c r="I38" s="429">
        <v>2.322460558</v>
      </c>
      <c r="J38" s="417">
        <v>3.3545621489999999</v>
      </c>
      <c r="K38" s="417">
        <f t="shared" si="0"/>
        <v>-5.0090783189999986</v>
      </c>
      <c r="L38" s="418">
        <f t="shared" si="1"/>
        <v>-0.59891124423212105</v>
      </c>
      <c r="M38" s="445"/>
    </row>
    <row r="39" spans="1:72" s="414" customFormat="1" ht="12.75" hidden="1" customHeight="1">
      <c r="A39" s="421" t="s">
        <v>51</v>
      </c>
      <c r="B39" s="422" t="s">
        <v>52</v>
      </c>
      <c r="C39" s="423">
        <v>0</v>
      </c>
      <c r="D39" s="423">
        <v>0</v>
      </c>
      <c r="E39" s="423">
        <v>0</v>
      </c>
      <c r="F39" s="423">
        <v>0</v>
      </c>
      <c r="G39" s="423"/>
      <c r="H39" s="417">
        <v>0</v>
      </c>
      <c r="I39" s="423">
        <v>0</v>
      </c>
      <c r="J39" s="417">
        <v>0</v>
      </c>
      <c r="K39" s="417">
        <f t="shared" si="0"/>
        <v>0</v>
      </c>
      <c r="L39" s="418" t="e">
        <f t="shared" si="1"/>
        <v>#DIV/0!</v>
      </c>
      <c r="M39" s="424"/>
    </row>
    <row r="40" spans="1:72" s="414" customFormat="1" ht="15" customHeight="1">
      <c r="A40" s="421" t="s">
        <v>53</v>
      </c>
      <c r="B40" s="422" t="s">
        <v>54</v>
      </c>
      <c r="C40" s="423">
        <v>111.14636518917514</v>
      </c>
      <c r="D40" s="423">
        <v>179.23426443111512</v>
      </c>
      <c r="E40" s="423">
        <v>229.86336809573584</v>
      </c>
      <c r="F40" s="423">
        <v>306.5303381907359</v>
      </c>
      <c r="G40" s="423">
        <v>123.0890179825638</v>
      </c>
      <c r="H40" s="417">
        <v>214.3069220315638</v>
      </c>
      <c r="I40" s="423">
        <v>301.18386228518881</v>
      </c>
      <c r="J40" s="417">
        <v>384.14149038396147</v>
      </c>
      <c r="K40" s="417">
        <f t="shared" si="0"/>
        <v>77.611152193225564</v>
      </c>
      <c r="L40" s="418">
        <f t="shared" si="1"/>
        <v>0.25319240063256876</v>
      </c>
    </row>
    <row r="41" spans="1:72" s="435" customFormat="1" ht="15" customHeight="1">
      <c r="A41" s="433"/>
      <c r="B41" s="428" t="s">
        <v>55</v>
      </c>
      <c r="C41" s="423">
        <v>93.19069265535677</v>
      </c>
      <c r="D41" s="423">
        <v>145.3836275384127</v>
      </c>
      <c r="E41" s="423">
        <v>188.3986245101284</v>
      </c>
      <c r="F41" s="423">
        <v>254.13673006806289</v>
      </c>
      <c r="G41" s="423">
        <v>102.99080998150318</v>
      </c>
      <c r="H41" s="417">
        <v>181.33934608814172</v>
      </c>
      <c r="I41" s="423">
        <v>257.76911894311877</v>
      </c>
      <c r="J41" s="417">
        <v>322.81297939384916</v>
      </c>
      <c r="K41" s="417">
        <f t="shared" si="0"/>
        <v>68.676249325786273</v>
      </c>
      <c r="L41" s="418">
        <f t="shared" si="1"/>
        <v>0.27023346569145446</v>
      </c>
      <c r="M41" s="434"/>
    </row>
    <row r="42" spans="1:72" s="435" customFormat="1" ht="15" customHeight="1">
      <c r="A42" s="433"/>
      <c r="B42" s="428" t="s">
        <v>56</v>
      </c>
      <c r="C42" s="423">
        <v>18.565387738818377</v>
      </c>
      <c r="D42" s="423">
        <v>33.850636892702461</v>
      </c>
      <c r="E42" s="423">
        <v>41.464743585607494</v>
      </c>
      <c r="F42" s="423">
        <v>52.393608122673022</v>
      </c>
      <c r="G42" s="423">
        <v>20.098208001060627</v>
      </c>
      <c r="H42" s="417">
        <v>32.967575943422091</v>
      </c>
      <c r="I42" s="423">
        <v>43.414743342070025</v>
      </c>
      <c r="J42" s="417">
        <v>61.328510990112306</v>
      </c>
      <c r="K42" s="417">
        <f t="shared" si="0"/>
        <v>8.9349028674392841</v>
      </c>
      <c r="L42" s="418">
        <f t="shared" si="1"/>
        <v>0.17053421567225024</v>
      </c>
      <c r="M42" s="446"/>
    </row>
    <row r="43" spans="1:72" s="414" customFormat="1" ht="15" customHeight="1">
      <c r="A43" s="421" t="s">
        <v>57</v>
      </c>
      <c r="B43" s="422" t="s">
        <v>58</v>
      </c>
      <c r="C43" s="423">
        <v>26.694160455999999</v>
      </c>
      <c r="D43" s="423">
        <v>50.736716437999995</v>
      </c>
      <c r="E43" s="423">
        <v>69.523729580999984</v>
      </c>
      <c r="F43" s="423">
        <v>91.027622357999988</v>
      </c>
      <c r="G43" s="423">
        <v>17.089357104000001</v>
      </c>
      <c r="H43" s="417">
        <v>30.752722951000003</v>
      </c>
      <c r="I43" s="423">
        <v>40.524356914000002</v>
      </c>
      <c r="J43" s="417">
        <v>46.834614239000004</v>
      </c>
      <c r="K43" s="417">
        <f t="shared" si="0"/>
        <v>-44.193008118999984</v>
      </c>
      <c r="L43" s="418">
        <f t="shared" si="1"/>
        <v>-0.4854900850336894</v>
      </c>
      <c r="M43" s="447"/>
    </row>
    <row r="44" spans="1:72" s="414" customFormat="1">
      <c r="A44" s="421" t="s">
        <v>59</v>
      </c>
      <c r="B44" s="422" t="s">
        <v>34</v>
      </c>
      <c r="C44" s="423">
        <v>332.49617963399999</v>
      </c>
      <c r="D44" s="423">
        <v>625.70004070999994</v>
      </c>
      <c r="E44" s="423">
        <v>1037.425705184</v>
      </c>
      <c r="F44" s="423">
        <v>1348.5538634289999</v>
      </c>
      <c r="G44" s="423">
        <v>691.54164906699998</v>
      </c>
      <c r="H44" s="417">
        <v>1080.6098483410001</v>
      </c>
      <c r="I44" s="423">
        <v>1429.4176552980002</v>
      </c>
      <c r="J44" s="417">
        <v>2091.1566641710001</v>
      </c>
      <c r="K44" s="417">
        <f t="shared" si="0"/>
        <v>742.60280074200023</v>
      </c>
      <c r="L44" s="418">
        <f t="shared" si="1"/>
        <v>0.5506660289072669</v>
      </c>
      <c r="M44" s="424"/>
    </row>
    <row r="45" spans="1:72" s="435" customFormat="1" ht="14">
      <c r="A45" s="433"/>
      <c r="B45" s="428" t="s">
        <v>60</v>
      </c>
      <c r="C45" s="423">
        <v>166.560168895</v>
      </c>
      <c r="D45" s="423">
        <v>328.41648960500004</v>
      </c>
      <c r="E45" s="423">
        <v>544.97095672700004</v>
      </c>
      <c r="F45" s="423">
        <v>669.66153685900008</v>
      </c>
      <c r="G45" s="423">
        <v>292.19127492900003</v>
      </c>
      <c r="H45" s="417">
        <v>499.43698293300002</v>
      </c>
      <c r="I45" s="423">
        <v>706.41700602800006</v>
      </c>
      <c r="J45" s="417">
        <v>1224.8492702640001</v>
      </c>
      <c r="K45" s="417">
        <f t="shared" si="0"/>
        <v>555.18773340500002</v>
      </c>
      <c r="L45" s="418">
        <f t="shared" si="1"/>
        <v>0.82905722196479825</v>
      </c>
      <c r="M45" s="448"/>
    </row>
    <row r="46" spans="1:72" s="435" customFormat="1" ht="14">
      <c r="A46" s="433"/>
      <c r="B46" s="428" t="s">
        <v>61</v>
      </c>
      <c r="C46" s="423">
        <v>165.93601073899998</v>
      </c>
      <c r="D46" s="423">
        <v>297.28355110499996</v>
      </c>
      <c r="E46" s="423">
        <v>492.45474845699999</v>
      </c>
      <c r="F46" s="423">
        <v>678.89232656999991</v>
      </c>
      <c r="G46" s="423">
        <v>399.35037413800001</v>
      </c>
      <c r="H46" s="417">
        <v>581.17286540800001</v>
      </c>
      <c r="I46" s="423">
        <v>723.00064927000005</v>
      </c>
      <c r="J46" s="417">
        <v>866.30739390700001</v>
      </c>
      <c r="K46" s="417">
        <f t="shared" si="0"/>
        <v>187.4150673370001</v>
      </c>
      <c r="L46" s="418">
        <f t="shared" si="1"/>
        <v>0.2760600761005596</v>
      </c>
    </row>
    <row r="47" spans="1:72" s="449" customFormat="1" ht="14">
      <c r="A47" s="421" t="s">
        <v>62</v>
      </c>
      <c r="B47" s="422" t="s">
        <v>63</v>
      </c>
      <c r="C47" s="423">
        <v>5.8792050509999996</v>
      </c>
      <c r="D47" s="423">
        <v>12.659428689</v>
      </c>
      <c r="E47" s="423">
        <v>18.499431858000001</v>
      </c>
      <c r="F47" s="423">
        <v>22.886596776000001</v>
      </c>
      <c r="G47" s="423">
        <v>5.8964683359999999</v>
      </c>
      <c r="H47" s="417">
        <v>11.936603308999999</v>
      </c>
      <c r="I47" s="423">
        <v>17.879504961999999</v>
      </c>
      <c r="J47" s="417">
        <v>25.792982625</v>
      </c>
      <c r="K47" s="417">
        <f t="shared" si="0"/>
        <v>2.9063858489999994</v>
      </c>
      <c r="L47" s="418">
        <f t="shared" si="1"/>
        <v>0.12699073949027562</v>
      </c>
      <c r="M47" s="448"/>
    </row>
    <row r="48" spans="1:72" s="414" customFormat="1">
      <c r="A48" s="421" t="s">
        <v>64</v>
      </c>
      <c r="B48" s="422" t="s">
        <v>65</v>
      </c>
      <c r="C48" s="423">
        <v>69.832540183000006</v>
      </c>
      <c r="D48" s="423">
        <v>98.970389109999999</v>
      </c>
      <c r="E48" s="423">
        <v>144.12440310899999</v>
      </c>
      <c r="F48" s="423">
        <v>184.44154207699998</v>
      </c>
      <c r="G48" s="423">
        <v>54.547852613000003</v>
      </c>
      <c r="H48" s="417">
        <v>103.72187521399999</v>
      </c>
      <c r="I48" s="423">
        <v>128.24754567799999</v>
      </c>
      <c r="J48" s="417">
        <v>148.504798733</v>
      </c>
      <c r="K48" s="417">
        <f t="shared" si="0"/>
        <v>-35.936743343999979</v>
      </c>
      <c r="L48" s="418">
        <f t="shared" si="1"/>
        <v>-0.19484083108021966</v>
      </c>
    </row>
    <row r="49" spans="1:72" s="414" customFormat="1">
      <c r="A49" s="421"/>
      <c r="B49" s="422" t="s">
        <v>66</v>
      </c>
      <c r="C49" s="423">
        <v>69.832540183000006</v>
      </c>
      <c r="D49" s="423">
        <v>98.970389109999999</v>
      </c>
      <c r="E49" s="423">
        <v>144.12440310899999</v>
      </c>
      <c r="F49" s="423">
        <v>184.44154207699998</v>
      </c>
      <c r="G49" s="423">
        <v>54.547852613000003</v>
      </c>
      <c r="H49" s="417">
        <v>103.72187521399999</v>
      </c>
      <c r="I49" s="423">
        <v>128.24754567799999</v>
      </c>
      <c r="J49" s="417">
        <v>148.504798733</v>
      </c>
      <c r="K49" s="417">
        <f t="shared" si="0"/>
        <v>-35.936743343999979</v>
      </c>
      <c r="L49" s="418">
        <f t="shared" si="1"/>
        <v>-0.19484083108021966</v>
      </c>
      <c r="M49" s="424"/>
    </row>
    <row r="50" spans="1:72" s="435" customFormat="1" ht="14">
      <c r="A50" s="433"/>
      <c r="B50" s="428" t="s">
        <v>67</v>
      </c>
      <c r="C50" s="429">
        <v>44.907240097999995</v>
      </c>
      <c r="D50" s="429">
        <v>47.867882597999994</v>
      </c>
      <c r="E50" s="429">
        <v>65.286066097999992</v>
      </c>
      <c r="F50" s="429">
        <v>83.063332453000001</v>
      </c>
      <c r="G50" s="429">
        <v>35.097587599000001</v>
      </c>
      <c r="H50" s="417">
        <v>52.497065849000002</v>
      </c>
      <c r="I50" s="429">
        <v>58.740163848999998</v>
      </c>
      <c r="J50" s="417">
        <v>61.476324098999996</v>
      </c>
      <c r="K50" s="417">
        <f t="shared" si="0"/>
        <v>-21.587008354000005</v>
      </c>
      <c r="L50" s="418">
        <f t="shared" si="1"/>
        <v>-0.25988613406781691</v>
      </c>
      <c r="M50" s="448"/>
    </row>
    <row r="51" spans="1:72" s="435" customFormat="1" ht="14">
      <c r="A51" s="433"/>
      <c r="B51" s="428" t="s">
        <v>68</v>
      </c>
      <c r="C51" s="429">
        <v>17.166893047999999</v>
      </c>
      <c r="D51" s="429">
        <v>37.318674813000001</v>
      </c>
      <c r="E51" s="429">
        <v>59.132533482000007</v>
      </c>
      <c r="F51" s="429">
        <v>72.008156570000011</v>
      </c>
      <c r="G51" s="429">
        <v>10.073067494</v>
      </c>
      <c r="H51" s="417">
        <v>31.288537014999999</v>
      </c>
      <c r="I51" s="429">
        <v>41.471429966000002</v>
      </c>
      <c r="J51" s="417">
        <v>41.471429966000002</v>
      </c>
      <c r="K51" s="417">
        <f t="shared" si="0"/>
        <v>-30.536726604000009</v>
      </c>
      <c r="L51" s="418">
        <f t="shared" si="1"/>
        <v>-0.42407316141074769</v>
      </c>
    </row>
    <row r="52" spans="1:72" s="435" customFormat="1" ht="14">
      <c r="A52" s="433"/>
      <c r="B52" s="428" t="s">
        <v>69</v>
      </c>
      <c r="C52" s="429">
        <v>0.48499999999999999</v>
      </c>
      <c r="D52" s="429">
        <v>0.48499999999999999</v>
      </c>
      <c r="E52" s="429">
        <v>1.1200000000000001</v>
      </c>
      <c r="F52" s="429">
        <v>2.2341703770000003</v>
      </c>
      <c r="G52" s="429">
        <v>4.99E-2</v>
      </c>
      <c r="H52" s="417">
        <v>1.2614910000000001</v>
      </c>
      <c r="I52" s="429">
        <v>3.8514910000000002</v>
      </c>
      <c r="J52" s="417">
        <v>5.6244540000000001</v>
      </c>
      <c r="K52" s="417">
        <f t="shared" si="0"/>
        <v>3.3902836229999997</v>
      </c>
      <c r="L52" s="418">
        <f t="shared" si="1"/>
        <v>1.5174687024328044</v>
      </c>
      <c r="M52" s="448"/>
    </row>
    <row r="53" spans="1:72" s="414" customFormat="1" ht="12.75" hidden="1" customHeight="1">
      <c r="A53" s="421"/>
      <c r="B53" s="422" t="s">
        <v>70</v>
      </c>
      <c r="C53" s="423">
        <v>0</v>
      </c>
      <c r="D53" s="423">
        <v>0</v>
      </c>
      <c r="E53" s="423">
        <v>0</v>
      </c>
      <c r="F53" s="423">
        <v>0</v>
      </c>
      <c r="G53" s="423"/>
      <c r="H53" s="417">
        <v>0</v>
      </c>
      <c r="I53" s="423">
        <v>0</v>
      </c>
      <c r="J53" s="417">
        <v>0</v>
      </c>
      <c r="K53" s="417">
        <f t="shared" si="0"/>
        <v>0</v>
      </c>
      <c r="L53" s="418" t="e">
        <f t="shared" si="1"/>
        <v>#DIV/0!</v>
      </c>
    </row>
    <row r="54" spans="1:72" s="435" customFormat="1" ht="14.25" hidden="1" customHeight="1">
      <c r="A54" s="433"/>
      <c r="B54" s="428" t="s">
        <v>71</v>
      </c>
      <c r="C54" s="423">
        <v>0</v>
      </c>
      <c r="D54" s="423">
        <v>0</v>
      </c>
      <c r="E54" s="423">
        <v>0</v>
      </c>
      <c r="F54" s="423">
        <v>0</v>
      </c>
      <c r="G54" s="423"/>
      <c r="H54" s="417">
        <v>0</v>
      </c>
      <c r="I54" s="423">
        <v>0</v>
      </c>
      <c r="J54" s="417">
        <v>0</v>
      </c>
      <c r="K54" s="417">
        <f t="shared" si="0"/>
        <v>0</v>
      </c>
      <c r="L54" s="418" t="e">
        <f t="shared" si="1"/>
        <v>#DIV/0!</v>
      </c>
    </row>
    <row r="55" spans="1:72" s="435" customFormat="1" ht="14.25" hidden="1" customHeight="1">
      <c r="A55" s="433"/>
      <c r="B55" s="428" t="s">
        <v>709</v>
      </c>
      <c r="C55" s="423">
        <v>0</v>
      </c>
      <c r="D55" s="423">
        <v>0</v>
      </c>
      <c r="E55" s="423">
        <v>0</v>
      </c>
      <c r="F55" s="423">
        <v>0</v>
      </c>
      <c r="G55" s="423"/>
      <c r="H55" s="417">
        <v>0</v>
      </c>
      <c r="I55" s="423">
        <v>0</v>
      </c>
      <c r="J55" s="417">
        <v>0</v>
      </c>
      <c r="K55" s="417">
        <f t="shared" si="0"/>
        <v>0</v>
      </c>
      <c r="L55" s="418" t="e">
        <f t="shared" si="1"/>
        <v>#DIV/0!</v>
      </c>
    </row>
    <row r="56" spans="1:72" s="420" customFormat="1">
      <c r="A56" s="425" t="s">
        <v>73</v>
      </c>
      <c r="B56" s="450" t="s">
        <v>74</v>
      </c>
      <c r="C56" s="417">
        <v>-315.2848657071753</v>
      </c>
      <c r="D56" s="417">
        <v>-233.00022631917543</v>
      </c>
      <c r="E56" s="417">
        <v>-450.79102402656281</v>
      </c>
      <c r="F56" s="417">
        <v>-237.74686464378055</v>
      </c>
      <c r="G56" s="417">
        <v>-514.02484464812028</v>
      </c>
      <c r="H56" s="417">
        <v>-492.02161228485147</v>
      </c>
      <c r="I56" s="417">
        <v>-495.13273181977661</v>
      </c>
      <c r="J56" s="417">
        <v>-627.297180998778</v>
      </c>
      <c r="K56" s="417">
        <f t="shared" si="0"/>
        <v>-389.55031635499745</v>
      </c>
      <c r="L56" s="418">
        <f t="shared" si="1"/>
        <v>1.6385087430644609</v>
      </c>
      <c r="M56" s="42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  <c r="AN56" s="414"/>
      <c r="AO56" s="414"/>
      <c r="AP56" s="414"/>
      <c r="AQ56" s="414"/>
      <c r="AR56" s="414"/>
      <c r="AS56" s="414"/>
      <c r="AT56" s="414"/>
      <c r="AU56" s="414"/>
      <c r="AV56" s="414"/>
      <c r="AW56" s="414"/>
      <c r="AX56" s="414"/>
      <c r="AY56" s="414"/>
      <c r="AZ56" s="414"/>
      <c r="BA56" s="414"/>
      <c r="BB56" s="414"/>
      <c r="BC56" s="414"/>
      <c r="BD56" s="414"/>
      <c r="BE56" s="414"/>
      <c r="BF56" s="414"/>
      <c r="BG56" s="414"/>
      <c r="BH56" s="414"/>
      <c r="BI56" s="414"/>
      <c r="BJ56" s="414"/>
      <c r="BK56" s="414"/>
      <c r="BL56" s="414"/>
      <c r="BM56" s="414"/>
      <c r="BN56" s="414"/>
      <c r="BO56" s="414"/>
      <c r="BP56" s="414"/>
      <c r="BQ56" s="414"/>
      <c r="BR56" s="414"/>
      <c r="BS56" s="414"/>
      <c r="BT56" s="414"/>
    </row>
    <row r="57" spans="1:72" s="420" customFormat="1" ht="15">
      <c r="A57" s="425" t="s">
        <v>75</v>
      </c>
      <c r="B57" s="450" t="s">
        <v>710</v>
      </c>
      <c r="C57" s="417">
        <v>-315.2848657071753</v>
      </c>
      <c r="D57" s="417">
        <v>-233.00022631917543</v>
      </c>
      <c r="E57" s="417">
        <v>-450.79102402656281</v>
      </c>
      <c r="F57" s="417">
        <v>-237.74686464378055</v>
      </c>
      <c r="G57" s="417">
        <v>-514.02484464812028</v>
      </c>
      <c r="H57" s="417">
        <v>-492.02161228485147</v>
      </c>
      <c r="I57" s="417">
        <v>-495.13273181977661</v>
      </c>
      <c r="J57" s="417">
        <v>-627.297180998778</v>
      </c>
      <c r="K57" s="417">
        <f t="shared" si="0"/>
        <v>-389.55031635499745</v>
      </c>
      <c r="L57" s="418">
        <f t="shared" si="1"/>
        <v>1.6385087430644609</v>
      </c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  <c r="AO57" s="414"/>
      <c r="AP57" s="414"/>
      <c r="AQ57" s="414"/>
      <c r="AR57" s="414"/>
      <c r="AS57" s="414"/>
      <c r="AT57" s="414"/>
      <c r="AU57" s="414"/>
      <c r="AV57" s="414"/>
      <c r="AW57" s="414"/>
      <c r="AX57" s="414"/>
      <c r="AY57" s="414"/>
      <c r="AZ57" s="414"/>
      <c r="BA57" s="414"/>
      <c r="BB57" s="414"/>
      <c r="BC57" s="414"/>
      <c r="BD57" s="414"/>
      <c r="BE57" s="414"/>
      <c r="BF57" s="414"/>
      <c r="BG57" s="414"/>
      <c r="BH57" s="414"/>
      <c r="BI57" s="414"/>
      <c r="BJ57" s="414"/>
      <c r="BK57" s="414"/>
      <c r="BL57" s="414"/>
      <c r="BM57" s="414"/>
      <c r="BN57" s="414"/>
      <c r="BO57" s="414"/>
      <c r="BP57" s="414"/>
      <c r="BQ57" s="414"/>
      <c r="BR57" s="414"/>
      <c r="BS57" s="414"/>
      <c r="BT57" s="414"/>
    </row>
    <row r="58" spans="1:72" s="414" customFormat="1">
      <c r="A58" s="415"/>
      <c r="B58" s="441" t="s">
        <v>77</v>
      </c>
      <c r="C58" s="423"/>
      <c r="D58" s="423"/>
      <c r="E58" s="423"/>
      <c r="F58" s="423"/>
      <c r="G58" s="423"/>
      <c r="H58" s="417"/>
      <c r="I58" s="423"/>
      <c r="J58" s="417"/>
      <c r="K58" s="417"/>
      <c r="L58" s="418"/>
      <c r="M58" s="419"/>
    </row>
    <row r="59" spans="1:72" s="414" customFormat="1">
      <c r="A59" s="415" t="s">
        <v>78</v>
      </c>
      <c r="B59" s="416" t="s">
        <v>79</v>
      </c>
      <c r="C59" s="417">
        <v>209.52417442300001</v>
      </c>
      <c r="D59" s="417">
        <v>371.73273693366662</v>
      </c>
      <c r="E59" s="417">
        <v>588.04935655711097</v>
      </c>
      <c r="F59" s="417">
        <v>727.45840721055561</v>
      </c>
      <c r="G59" s="417">
        <v>226.66617421599994</v>
      </c>
      <c r="H59" s="417">
        <v>279.39779933962552</v>
      </c>
      <c r="I59" s="417">
        <v>464.21707391945722</v>
      </c>
      <c r="J59" s="417">
        <v>422.179784219</v>
      </c>
      <c r="K59" s="417">
        <f t="shared" si="0"/>
        <v>-305.27862299155561</v>
      </c>
      <c r="L59" s="418">
        <f t="shared" si="1"/>
        <v>-0.41965096556124581</v>
      </c>
      <c r="M59" s="419"/>
      <c r="N59" s="419"/>
    </row>
    <row r="60" spans="1:72" s="414" customFormat="1">
      <c r="A60" s="421" t="s">
        <v>80</v>
      </c>
      <c r="B60" s="422" t="s">
        <v>81</v>
      </c>
      <c r="C60" s="423">
        <v>209.02417442300001</v>
      </c>
      <c r="D60" s="423">
        <v>369.64962323366666</v>
      </c>
      <c r="E60" s="423">
        <v>583.90856785711094</v>
      </c>
      <c r="F60" s="423">
        <v>722.73898488755549</v>
      </c>
      <c r="G60" s="423">
        <v>226.66617421599994</v>
      </c>
      <c r="H60" s="417">
        <v>368.3828368396255</v>
      </c>
      <c r="I60" s="423">
        <v>553.0677167164572</v>
      </c>
      <c r="J60" s="417">
        <v>667.88568251200002</v>
      </c>
      <c r="K60" s="417">
        <f t="shared" si="0"/>
        <v>-54.853302375555472</v>
      </c>
      <c r="L60" s="418">
        <f t="shared" si="1"/>
        <v>-7.5896421145857484E-2</v>
      </c>
      <c r="M60" s="419"/>
    </row>
    <row r="61" spans="1:72" s="435" customFormat="1" ht="14">
      <c r="A61" s="433"/>
      <c r="B61" s="428" t="s">
        <v>82</v>
      </c>
      <c r="C61" s="429">
        <v>25.92417442299999</v>
      </c>
      <c r="D61" s="429">
        <v>41.289588354999978</v>
      </c>
      <c r="E61" s="429">
        <v>63.308521351999978</v>
      </c>
      <c r="F61" s="429">
        <v>92.911140572999969</v>
      </c>
      <c r="G61" s="429">
        <v>22.266174216000003</v>
      </c>
      <c r="H61" s="417">
        <v>50.649503506000002</v>
      </c>
      <c r="I61" s="429">
        <v>75.145494494000005</v>
      </c>
      <c r="J61" s="417">
        <v>120.98568251200001</v>
      </c>
      <c r="K61" s="417">
        <f t="shared" si="0"/>
        <v>28.074541939000042</v>
      </c>
      <c r="L61" s="418">
        <f t="shared" si="1"/>
        <v>0.30216550745001314</v>
      </c>
      <c r="M61" s="434"/>
    </row>
    <row r="62" spans="1:72" s="435" customFormat="1" ht="14.25" hidden="1" customHeight="1">
      <c r="A62" s="433"/>
      <c r="B62" s="428" t="s">
        <v>83</v>
      </c>
      <c r="C62" s="429">
        <v>0</v>
      </c>
      <c r="D62" s="429">
        <v>0</v>
      </c>
      <c r="E62" s="429">
        <v>0</v>
      </c>
      <c r="F62" s="429">
        <v>0</v>
      </c>
      <c r="G62" s="429"/>
      <c r="H62" s="417">
        <v>0</v>
      </c>
      <c r="I62" s="429">
        <v>0</v>
      </c>
      <c r="J62" s="417">
        <v>0</v>
      </c>
      <c r="K62" s="417">
        <f t="shared" si="0"/>
        <v>0</v>
      </c>
      <c r="L62" s="418" t="e">
        <f t="shared" si="1"/>
        <v>#DIV/0!</v>
      </c>
    </row>
    <row r="63" spans="1:72" s="435" customFormat="1" ht="14">
      <c r="A63" s="433"/>
      <c r="B63" s="428" t="s">
        <v>84</v>
      </c>
      <c r="C63" s="429">
        <v>183.10000000000002</v>
      </c>
      <c r="D63" s="429">
        <v>328.36003487866668</v>
      </c>
      <c r="E63" s="429">
        <v>520.60004650511098</v>
      </c>
      <c r="F63" s="429">
        <v>629.82784431455548</v>
      </c>
      <c r="G63" s="429">
        <v>204.39999999999992</v>
      </c>
      <c r="H63" s="417">
        <v>317.73333333362552</v>
      </c>
      <c r="I63" s="429">
        <v>477.92222222245721</v>
      </c>
      <c r="J63" s="417">
        <v>546.9</v>
      </c>
      <c r="K63" s="417">
        <f t="shared" si="0"/>
        <v>-82.9278443145555</v>
      </c>
      <c r="L63" s="418">
        <f t="shared" si="1"/>
        <v>-0.13166747876128948</v>
      </c>
      <c r="M63" s="448"/>
    </row>
    <row r="64" spans="1:72" s="414" customFormat="1">
      <c r="A64" s="421" t="s">
        <v>85</v>
      </c>
      <c r="B64" s="422" t="s">
        <v>86</v>
      </c>
      <c r="C64" s="423">
        <v>0</v>
      </c>
      <c r="D64" s="423">
        <v>4.4931499999999999E-2</v>
      </c>
      <c r="E64" s="423">
        <v>1.0908565000000001</v>
      </c>
      <c r="F64" s="423">
        <v>1.6694901230000001</v>
      </c>
      <c r="G64" s="423">
        <v>0</v>
      </c>
      <c r="H64" s="417">
        <v>1.0149625</v>
      </c>
      <c r="I64" s="423">
        <v>1.132807203</v>
      </c>
      <c r="J64" s="417">
        <v>1.244247707</v>
      </c>
      <c r="K64" s="417">
        <f t="shared" si="0"/>
        <v>-0.42524241600000012</v>
      </c>
      <c r="L64" s="418">
        <f t="shared" si="1"/>
        <v>-0.25471394537863945</v>
      </c>
    </row>
    <row r="65" spans="1:72" s="414" customFormat="1">
      <c r="A65" s="421" t="s">
        <v>87</v>
      </c>
      <c r="B65" s="422" t="s">
        <v>88</v>
      </c>
      <c r="C65" s="423">
        <v>0</v>
      </c>
      <c r="D65" s="423">
        <v>3.8182199999999999E-2</v>
      </c>
      <c r="E65" s="423">
        <v>4.9932199999999996E-2</v>
      </c>
      <c r="F65" s="423">
        <v>4.9932199999999996E-2</v>
      </c>
      <c r="G65" s="423">
        <v>0</v>
      </c>
      <c r="H65" s="417">
        <v>0</v>
      </c>
      <c r="I65" s="423">
        <v>1.6549999999999999E-2</v>
      </c>
      <c r="J65" s="417">
        <v>4.9853999999999996E-2</v>
      </c>
      <c r="K65" s="417">
        <f t="shared" si="0"/>
        <v>-7.8200000000000491E-5</v>
      </c>
      <c r="L65" s="418">
        <f t="shared" si="1"/>
        <v>-1.5661236636880238E-3</v>
      </c>
    </row>
    <row r="66" spans="1:72" s="414" customFormat="1">
      <c r="A66" s="421" t="s">
        <v>89</v>
      </c>
      <c r="B66" s="422" t="s">
        <v>90</v>
      </c>
      <c r="C66" s="423">
        <v>0.5</v>
      </c>
      <c r="D66" s="423">
        <v>2</v>
      </c>
      <c r="E66" s="423">
        <v>3</v>
      </c>
      <c r="F66" s="423">
        <v>3</v>
      </c>
      <c r="G66" s="423">
        <v>0</v>
      </c>
      <c r="H66" s="417">
        <v>0</v>
      </c>
      <c r="I66" s="423">
        <v>0</v>
      </c>
      <c r="J66" s="417">
        <v>0</v>
      </c>
      <c r="K66" s="417">
        <f t="shared" si="0"/>
        <v>-3</v>
      </c>
      <c r="L66" s="418">
        <f t="shared" si="1"/>
        <v>-1</v>
      </c>
    </row>
    <row r="67" spans="1:72" s="414" customFormat="1">
      <c r="A67" s="421"/>
      <c r="B67" s="422" t="s">
        <v>696</v>
      </c>
      <c r="C67" s="423"/>
      <c r="D67" s="423"/>
      <c r="E67" s="423"/>
      <c r="F67" s="423"/>
      <c r="G67" s="423">
        <v>0</v>
      </c>
      <c r="H67" s="417">
        <v>-90</v>
      </c>
      <c r="I67" s="423">
        <v>-90</v>
      </c>
      <c r="J67" s="417">
        <v>-247</v>
      </c>
      <c r="K67" s="417">
        <f t="shared" si="0"/>
        <v>-247</v>
      </c>
      <c r="L67" s="418" t="e">
        <f t="shared" si="1"/>
        <v>#DIV/0!</v>
      </c>
      <c r="M67" s="419"/>
    </row>
    <row r="68" spans="1:72" s="420" customFormat="1">
      <c r="A68" s="425" t="s">
        <v>91</v>
      </c>
      <c r="B68" s="450" t="s">
        <v>92</v>
      </c>
      <c r="C68" s="417">
        <v>-524.80904013017528</v>
      </c>
      <c r="D68" s="417">
        <v>-604.73296325284196</v>
      </c>
      <c r="E68" s="417">
        <v>-1038.8403805836736</v>
      </c>
      <c r="F68" s="417">
        <v>-965.20527185433616</v>
      </c>
      <c r="G68" s="417">
        <v>-740.69101886412034</v>
      </c>
      <c r="H68" s="417">
        <v>-771.41941162447711</v>
      </c>
      <c r="I68" s="417">
        <v>-959.34980573923394</v>
      </c>
      <c r="J68" s="417">
        <v>-1049.4769652177781</v>
      </c>
      <c r="K68" s="417">
        <f t="shared" si="0"/>
        <v>-84.271693363441955</v>
      </c>
      <c r="L68" s="418">
        <f t="shared" si="1"/>
        <v>8.7309607418057933E-2</v>
      </c>
      <c r="M68" s="419"/>
      <c r="N68" s="419"/>
      <c r="O68" s="414"/>
      <c r="P68" s="414"/>
      <c r="Q68" s="414"/>
      <c r="R68" s="414"/>
      <c r="S68" s="414"/>
      <c r="T68" s="414"/>
      <c r="U68" s="414"/>
      <c r="V68" s="414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  <c r="AO68" s="414"/>
      <c r="AP68" s="414"/>
      <c r="AQ68" s="414"/>
      <c r="AR68" s="414"/>
      <c r="AS68" s="414"/>
      <c r="AT68" s="414"/>
      <c r="AU68" s="414"/>
      <c r="AV68" s="414"/>
      <c r="AW68" s="414"/>
      <c r="AX68" s="414"/>
      <c r="AY68" s="414"/>
      <c r="AZ68" s="414"/>
      <c r="BA68" s="414"/>
      <c r="BB68" s="414"/>
      <c r="BC68" s="414"/>
      <c r="BD68" s="414"/>
      <c r="BE68" s="414"/>
      <c r="BF68" s="414"/>
      <c r="BG68" s="414"/>
      <c r="BH68" s="414"/>
      <c r="BI68" s="414"/>
      <c r="BJ68" s="414"/>
      <c r="BK68" s="414"/>
      <c r="BL68" s="414"/>
      <c r="BM68" s="414"/>
      <c r="BN68" s="414"/>
      <c r="BO68" s="414"/>
      <c r="BP68" s="414"/>
      <c r="BQ68" s="414"/>
      <c r="BR68" s="414"/>
      <c r="BS68" s="414"/>
      <c r="BT68" s="414"/>
    </row>
    <row r="69" spans="1:72" s="414" customFormat="1" ht="16.5" customHeight="1">
      <c r="A69" s="451"/>
      <c r="B69" s="452" t="s">
        <v>93</v>
      </c>
      <c r="C69" s="453"/>
      <c r="D69" s="453"/>
      <c r="E69" s="453"/>
      <c r="F69" s="453"/>
      <c r="G69" s="453"/>
      <c r="H69" s="417">
        <v>0</v>
      </c>
      <c r="I69" s="454">
        <v>0</v>
      </c>
      <c r="J69" s="417">
        <v>0</v>
      </c>
      <c r="K69" s="417">
        <f t="shared" si="0"/>
        <v>0</v>
      </c>
      <c r="L69" s="418" t="e">
        <f t="shared" si="1"/>
        <v>#DIV/0!</v>
      </c>
      <c r="M69" s="419"/>
    </row>
    <row r="70" spans="1:72" s="414" customFormat="1">
      <c r="A70" s="415" t="s">
        <v>94</v>
      </c>
      <c r="B70" s="416" t="s">
        <v>95</v>
      </c>
      <c r="C70" s="417">
        <v>-67.868669688249994</v>
      </c>
      <c r="D70" s="417">
        <v>356.85047366076003</v>
      </c>
      <c r="E70" s="417">
        <v>238.54639493371002</v>
      </c>
      <c r="F70" s="417">
        <v>432.49323918971004</v>
      </c>
      <c r="G70" s="417">
        <v>-16.521861770000015</v>
      </c>
      <c r="H70" s="417">
        <v>310.32723975499994</v>
      </c>
      <c r="I70" s="417">
        <v>209.24679119499993</v>
      </c>
      <c r="J70" s="417">
        <v>305.70156807599989</v>
      </c>
      <c r="K70" s="417">
        <f t="shared" si="0"/>
        <v>-126.79167111371015</v>
      </c>
      <c r="L70" s="418">
        <f t="shared" si="1"/>
        <v>-0.29316451593846515</v>
      </c>
      <c r="M70" s="419"/>
    </row>
    <row r="71" spans="1:72" s="414" customFormat="1">
      <c r="A71" s="421" t="s">
        <v>96</v>
      </c>
      <c r="B71" s="422" t="s">
        <v>97</v>
      </c>
      <c r="C71" s="423">
        <v>-67.868669688249994</v>
      </c>
      <c r="D71" s="423">
        <v>356.85047366076003</v>
      </c>
      <c r="E71" s="423">
        <v>238.54639493371002</v>
      </c>
      <c r="F71" s="423">
        <v>432.49323918971004</v>
      </c>
      <c r="G71" s="423">
        <v>-16.521861770000015</v>
      </c>
      <c r="H71" s="417">
        <v>310.32723975499994</v>
      </c>
      <c r="I71" s="423">
        <v>209.24679119499993</v>
      </c>
      <c r="J71" s="417">
        <v>305.70156807599989</v>
      </c>
      <c r="K71" s="417">
        <f t="shared" ref="K71:K117" si="2">+J71-F71</f>
        <v>-126.79167111371015</v>
      </c>
      <c r="L71" s="418">
        <f t="shared" ref="L71:L117" si="3">+J71/F71-1</f>
        <v>-0.29316451593846515</v>
      </c>
      <c r="M71" s="419">
        <f>+J71-J72</f>
        <v>246.96414708899988</v>
      </c>
      <c r="N71" s="419"/>
    </row>
    <row r="72" spans="1:72" s="435" customFormat="1" ht="14">
      <c r="A72" s="433"/>
      <c r="B72" s="428" t="s">
        <v>98</v>
      </c>
      <c r="C72" s="429">
        <v>-75.67962463024999</v>
      </c>
      <c r="D72" s="429">
        <v>301.62545385575999</v>
      </c>
      <c r="E72" s="429">
        <v>160.25157310570998</v>
      </c>
      <c r="F72" s="429">
        <v>358.02369613171004</v>
      </c>
      <c r="G72" s="429">
        <v>-17.437026059999994</v>
      </c>
      <c r="H72" s="417">
        <v>292.03583869200003</v>
      </c>
      <c r="I72" s="429">
        <v>-52.968000279999956</v>
      </c>
      <c r="J72" s="417">
        <v>58.737420987000007</v>
      </c>
      <c r="K72" s="417">
        <f t="shared" si="2"/>
        <v>-299.28627514471003</v>
      </c>
      <c r="L72" s="418">
        <f t="shared" si="3"/>
        <v>-0.83593985084889011</v>
      </c>
      <c r="M72" s="434"/>
    </row>
    <row r="73" spans="1:72" s="435" customFormat="1" ht="14">
      <c r="A73" s="433"/>
      <c r="B73" s="428" t="s">
        <v>99</v>
      </c>
      <c r="C73" s="429">
        <v>0</v>
      </c>
      <c r="D73" s="429">
        <v>0</v>
      </c>
      <c r="E73" s="429">
        <v>0</v>
      </c>
      <c r="F73" s="429">
        <v>0</v>
      </c>
      <c r="G73" s="429">
        <v>0</v>
      </c>
      <c r="H73" s="417">
        <v>0</v>
      </c>
      <c r="I73" s="429">
        <v>0</v>
      </c>
      <c r="J73" s="417">
        <v>0</v>
      </c>
      <c r="K73" s="417">
        <f t="shared" si="2"/>
        <v>0</v>
      </c>
      <c r="L73" s="418" t="e">
        <f t="shared" si="3"/>
        <v>#DIV/0!</v>
      </c>
      <c r="M73" s="434"/>
    </row>
    <row r="74" spans="1:72" s="435" customFormat="1" ht="14">
      <c r="A74" s="433"/>
      <c r="B74" s="428" t="s">
        <v>100</v>
      </c>
      <c r="C74" s="429">
        <v>0</v>
      </c>
      <c r="D74" s="429">
        <v>27.42329415</v>
      </c>
      <c r="E74" s="429">
        <v>40.980000000000004</v>
      </c>
      <c r="F74" s="429">
        <v>58.804827024000005</v>
      </c>
      <c r="G74" s="429">
        <v>-0.90412407100000003</v>
      </c>
      <c r="H74" s="417">
        <v>-1.885943717</v>
      </c>
      <c r="I74" s="429">
        <v>254.05305854600002</v>
      </c>
      <c r="J74" s="417">
        <v>288.43781832800005</v>
      </c>
      <c r="K74" s="417">
        <f t="shared" si="2"/>
        <v>229.63299130400003</v>
      </c>
      <c r="L74" s="418">
        <f t="shared" si="3"/>
        <v>3.905002410946298</v>
      </c>
      <c r="M74" s="448"/>
    </row>
    <row r="75" spans="1:72" s="435" customFormat="1" ht="14">
      <c r="A75" s="433"/>
      <c r="B75" s="440" t="s">
        <v>101</v>
      </c>
      <c r="C75" s="429">
        <v>0</v>
      </c>
      <c r="D75" s="429">
        <v>27.42329415</v>
      </c>
      <c r="E75" s="429">
        <v>40.980000000000004</v>
      </c>
      <c r="F75" s="429">
        <v>58.804827024000005</v>
      </c>
      <c r="G75" s="429">
        <v>0</v>
      </c>
      <c r="H75" s="417">
        <v>0</v>
      </c>
      <c r="I75" s="429">
        <v>256.81213665299998</v>
      </c>
      <c r="J75" s="417">
        <v>292.023532773</v>
      </c>
      <c r="K75" s="417">
        <f t="shared" si="2"/>
        <v>233.21870574899998</v>
      </c>
      <c r="L75" s="418">
        <f t="shared" si="3"/>
        <v>3.9659789434261317</v>
      </c>
    </row>
    <row r="76" spans="1:72" s="435" customFormat="1" ht="14.25" hidden="1" customHeight="1">
      <c r="A76" s="433"/>
      <c r="B76" s="455" t="s">
        <v>102</v>
      </c>
      <c r="C76" s="429">
        <v>0</v>
      </c>
      <c r="D76" s="429">
        <v>0</v>
      </c>
      <c r="E76" s="429">
        <v>0</v>
      </c>
      <c r="F76" s="429">
        <v>0</v>
      </c>
      <c r="G76" s="429"/>
      <c r="H76" s="417">
        <v>0</v>
      </c>
      <c r="I76" s="429">
        <v>0</v>
      </c>
      <c r="J76" s="417">
        <v>0</v>
      </c>
      <c r="K76" s="417">
        <f t="shared" si="2"/>
        <v>0</v>
      </c>
      <c r="L76" s="418" t="e">
        <f t="shared" si="3"/>
        <v>#DIV/0!</v>
      </c>
    </row>
    <row r="77" spans="1:72" s="435" customFormat="1" ht="14.25" hidden="1" customHeight="1">
      <c r="A77" s="433"/>
      <c r="B77" s="428" t="s">
        <v>103</v>
      </c>
      <c r="C77" s="429">
        <v>0</v>
      </c>
      <c r="D77" s="429">
        <v>0</v>
      </c>
      <c r="E77" s="429">
        <v>0</v>
      </c>
      <c r="F77" s="429">
        <v>0</v>
      </c>
      <c r="G77" s="429"/>
      <c r="H77" s="417">
        <v>0</v>
      </c>
      <c r="I77" s="429">
        <v>0</v>
      </c>
      <c r="J77" s="417">
        <v>0</v>
      </c>
      <c r="K77" s="417">
        <f t="shared" si="2"/>
        <v>0</v>
      </c>
      <c r="L77" s="418" t="e">
        <f t="shared" si="3"/>
        <v>#DIV/0!</v>
      </c>
    </row>
    <row r="78" spans="1:72" s="435" customFormat="1" ht="14.25" hidden="1" customHeight="1">
      <c r="A78" s="433"/>
      <c r="B78" s="456" t="s">
        <v>104</v>
      </c>
      <c r="C78" s="429">
        <v>0</v>
      </c>
      <c r="D78" s="429">
        <v>0</v>
      </c>
      <c r="E78" s="429">
        <v>0</v>
      </c>
      <c r="F78" s="429">
        <v>0</v>
      </c>
      <c r="G78" s="429"/>
      <c r="H78" s="417">
        <v>0</v>
      </c>
      <c r="I78" s="429">
        <v>0</v>
      </c>
      <c r="J78" s="417">
        <v>0</v>
      </c>
      <c r="K78" s="417">
        <f t="shared" si="2"/>
        <v>0</v>
      </c>
      <c r="L78" s="418" t="e">
        <f t="shared" si="3"/>
        <v>#DIV/0!</v>
      </c>
    </row>
    <row r="79" spans="1:72" s="435" customFormat="1" ht="14.25" hidden="1" customHeight="1">
      <c r="A79" s="433"/>
      <c r="B79" s="456" t="s">
        <v>105</v>
      </c>
      <c r="C79" s="429">
        <v>0</v>
      </c>
      <c r="D79" s="429">
        <v>0</v>
      </c>
      <c r="E79" s="429">
        <v>0</v>
      </c>
      <c r="F79" s="429">
        <v>0</v>
      </c>
      <c r="G79" s="429"/>
      <c r="H79" s="417">
        <v>0</v>
      </c>
      <c r="I79" s="429">
        <v>0</v>
      </c>
      <c r="J79" s="417">
        <v>0</v>
      </c>
      <c r="K79" s="417">
        <f t="shared" si="2"/>
        <v>0</v>
      </c>
      <c r="L79" s="418" t="e">
        <f t="shared" si="3"/>
        <v>#DIV/0!</v>
      </c>
    </row>
    <row r="80" spans="1:72" s="435" customFormat="1" ht="14">
      <c r="A80" s="433"/>
      <c r="B80" s="456" t="s">
        <v>106</v>
      </c>
      <c r="C80" s="429">
        <v>7.8109549420000004</v>
      </c>
      <c r="D80" s="429">
        <v>27.801725654999998</v>
      </c>
      <c r="E80" s="429">
        <v>37.314821827999999</v>
      </c>
      <c r="F80" s="429">
        <v>15.664716034000001</v>
      </c>
      <c r="G80" s="429">
        <v>1.8192883609999999</v>
      </c>
      <c r="H80" s="417">
        <v>20.177344779999999</v>
      </c>
      <c r="I80" s="429">
        <v>8.1617329289999994</v>
      </c>
      <c r="J80" s="417">
        <v>-41.473671238999998</v>
      </c>
      <c r="K80" s="417">
        <f t="shared" si="2"/>
        <v>-57.138387272999999</v>
      </c>
      <c r="L80" s="418">
        <f t="shared" si="3"/>
        <v>-3.6475852577845713</v>
      </c>
    </row>
    <row r="81" spans="1:12" s="414" customFormat="1">
      <c r="A81" s="421" t="s">
        <v>107</v>
      </c>
      <c r="B81" s="422" t="s">
        <v>108</v>
      </c>
      <c r="C81" s="423">
        <v>0</v>
      </c>
      <c r="D81" s="423">
        <v>0</v>
      </c>
      <c r="E81" s="423">
        <v>0</v>
      </c>
      <c r="F81" s="423">
        <v>0</v>
      </c>
      <c r="G81" s="423">
        <v>0</v>
      </c>
      <c r="H81" s="417">
        <v>0</v>
      </c>
      <c r="I81" s="423">
        <v>0</v>
      </c>
      <c r="J81" s="417">
        <v>0</v>
      </c>
      <c r="K81" s="417">
        <f t="shared" si="2"/>
        <v>0</v>
      </c>
      <c r="L81" s="418" t="e">
        <f t="shared" si="3"/>
        <v>#DIV/0!</v>
      </c>
    </row>
    <row r="82" spans="1:12" s="414" customFormat="1">
      <c r="A82" s="421" t="s">
        <v>109</v>
      </c>
      <c r="B82" s="422" t="s">
        <v>110</v>
      </c>
      <c r="C82" s="423">
        <v>0</v>
      </c>
      <c r="D82" s="423">
        <v>0</v>
      </c>
      <c r="E82" s="423">
        <v>0</v>
      </c>
      <c r="F82" s="423">
        <v>0</v>
      </c>
      <c r="G82" s="423">
        <v>0</v>
      </c>
      <c r="H82" s="417">
        <v>0</v>
      </c>
      <c r="I82" s="423">
        <v>0</v>
      </c>
      <c r="J82" s="417">
        <v>0</v>
      </c>
      <c r="K82" s="417">
        <f t="shared" si="2"/>
        <v>0</v>
      </c>
      <c r="L82" s="418" t="e">
        <f t="shared" si="3"/>
        <v>#DIV/0!</v>
      </c>
    </row>
    <row r="83" spans="1:12" s="414" customFormat="1">
      <c r="A83" s="415" t="s">
        <v>111</v>
      </c>
      <c r="B83" s="416" t="s">
        <v>711</v>
      </c>
      <c r="C83" s="417">
        <v>454.24786349243902</v>
      </c>
      <c r="D83" s="417">
        <v>960.0032533651156</v>
      </c>
      <c r="E83" s="417">
        <v>1278.9263661441209</v>
      </c>
      <c r="F83" s="417">
        <v>1395.4207168613434</v>
      </c>
      <c r="G83" s="417">
        <v>722.61895503086873</v>
      </c>
      <c r="H83" s="417">
        <v>1081.6951320502053</v>
      </c>
      <c r="I83" s="417">
        <v>1167.505275736037</v>
      </c>
      <c r="J83" s="417">
        <v>1356.6404705864206</v>
      </c>
      <c r="K83" s="417">
        <f t="shared" si="2"/>
        <v>-38.780246274922774</v>
      </c>
      <c r="L83" s="418">
        <f t="shared" si="3"/>
        <v>-2.779107820768878E-2</v>
      </c>
    </row>
    <row r="84" spans="1:12" s="414" customFormat="1">
      <c r="A84" s="421" t="s">
        <v>113</v>
      </c>
      <c r="B84" s="422" t="s">
        <v>97</v>
      </c>
      <c r="C84" s="423">
        <v>204.17444347817499</v>
      </c>
      <c r="D84" s="423">
        <v>241.00778162027495</v>
      </c>
      <c r="E84" s="423">
        <v>405.17949181180995</v>
      </c>
      <c r="F84" s="423">
        <v>364.40999260690995</v>
      </c>
      <c r="G84" s="423">
        <v>237.04494117417499</v>
      </c>
      <c r="H84" s="417">
        <v>277.53402822672695</v>
      </c>
      <c r="I84" s="423">
        <v>339.04698725226194</v>
      </c>
      <c r="J84" s="417">
        <v>583.95223994981393</v>
      </c>
      <c r="K84" s="417">
        <f t="shared" si="2"/>
        <v>219.54224734290398</v>
      </c>
      <c r="L84" s="418">
        <f t="shared" si="3"/>
        <v>0.60245945994056416</v>
      </c>
    </row>
    <row r="85" spans="1:12" s="366" customFormat="1">
      <c r="A85" s="433"/>
      <c r="B85" s="428" t="s">
        <v>114</v>
      </c>
      <c r="C85" s="429">
        <v>56.662366300174995</v>
      </c>
      <c r="D85" s="429">
        <v>96.537119059274985</v>
      </c>
      <c r="E85" s="429">
        <v>99.489540806809984</v>
      </c>
      <c r="F85" s="429">
        <v>140.16004356590997</v>
      </c>
      <c r="G85" s="429">
        <v>37.184816300175001</v>
      </c>
      <c r="H85" s="417">
        <v>134.695645966727</v>
      </c>
      <c r="I85" s="429">
        <v>301.18790630926202</v>
      </c>
      <c r="J85" s="417">
        <v>442.332449155814</v>
      </c>
      <c r="K85" s="417">
        <f t="shared" si="2"/>
        <v>302.17240558990403</v>
      </c>
      <c r="L85" s="418">
        <f t="shared" si="3"/>
        <v>2.1559097578890811</v>
      </c>
    </row>
    <row r="86" spans="1:12" s="366" customFormat="1">
      <c r="A86" s="433"/>
      <c r="B86" s="428" t="s">
        <v>115</v>
      </c>
      <c r="C86" s="429">
        <v>0</v>
      </c>
      <c r="D86" s="429">
        <v>0</v>
      </c>
      <c r="E86" s="429">
        <v>0</v>
      </c>
      <c r="F86" s="429">
        <v>0</v>
      </c>
      <c r="G86" s="429">
        <v>0</v>
      </c>
      <c r="H86" s="417">
        <v>0</v>
      </c>
      <c r="I86" s="429">
        <v>0</v>
      </c>
      <c r="J86" s="417">
        <v>0</v>
      </c>
      <c r="K86" s="417">
        <f t="shared" si="2"/>
        <v>0</v>
      </c>
      <c r="L86" s="418" t="e">
        <f t="shared" si="3"/>
        <v>#DIV/0!</v>
      </c>
    </row>
    <row r="87" spans="1:12" s="366" customFormat="1">
      <c r="A87" s="433"/>
      <c r="B87" s="428" t="s">
        <v>116</v>
      </c>
      <c r="C87" s="429">
        <v>0</v>
      </c>
      <c r="D87" s="429">
        <v>39.25</v>
      </c>
      <c r="E87" s="429">
        <v>34.501750000000001</v>
      </c>
      <c r="F87" s="429">
        <v>23.692550000000001</v>
      </c>
      <c r="G87" s="429">
        <v>20.76</v>
      </c>
      <c r="H87" s="417">
        <v>27.86</v>
      </c>
      <c r="I87" s="429">
        <v>42.918795020000005</v>
      </c>
      <c r="J87" s="417">
        <v>45.440795020000003</v>
      </c>
      <c r="K87" s="417">
        <f t="shared" si="2"/>
        <v>21.748245020000002</v>
      </c>
      <c r="L87" s="418">
        <f t="shared" si="3"/>
        <v>0.91793601870630237</v>
      </c>
    </row>
    <row r="88" spans="1:12" s="366" customFormat="1">
      <c r="A88" s="433"/>
      <c r="B88" s="428" t="s">
        <v>117</v>
      </c>
      <c r="C88" s="457">
        <v>-2.4454661998249998</v>
      </c>
      <c r="D88" s="457">
        <v>-7.8537234407249992</v>
      </c>
      <c r="E88" s="457">
        <v>-10.299189640549999</v>
      </c>
      <c r="F88" s="457">
        <v>-15.70744688145</v>
      </c>
      <c r="G88" s="457">
        <v>-2.4454661998249998</v>
      </c>
      <c r="H88" s="417">
        <v>-4.3605665332730101</v>
      </c>
      <c r="I88" s="457">
        <v>-6.7223612580980099</v>
      </c>
      <c r="J88" s="417">
        <v>55.390768741901987</v>
      </c>
      <c r="K88" s="417">
        <f t="shared" si="2"/>
        <v>71.09821562335199</v>
      </c>
      <c r="L88" s="418">
        <f t="shared" si="3"/>
        <v>-4.52640178636012</v>
      </c>
    </row>
    <row r="89" spans="1:12" s="366" customFormat="1">
      <c r="A89" s="433"/>
      <c r="B89" s="428" t="s">
        <v>118</v>
      </c>
      <c r="C89" s="429">
        <v>66.616957499999998</v>
      </c>
      <c r="D89" s="429">
        <v>72.649967500000002</v>
      </c>
      <c r="E89" s="429">
        <v>87.786105447360001</v>
      </c>
      <c r="F89" s="429">
        <v>144.67406544735999</v>
      </c>
      <c r="G89" s="429">
        <v>26.379407500000006</v>
      </c>
      <c r="H89" s="417">
        <v>118.70533750000001</v>
      </c>
      <c r="I89" s="429">
        <v>280.00972254736001</v>
      </c>
      <c r="J89" s="417">
        <v>356.51913539391199</v>
      </c>
      <c r="K89" s="417">
        <f t="shared" si="2"/>
        <v>211.845069946552</v>
      </c>
      <c r="L89" s="418">
        <f t="shared" si="3"/>
        <v>1.4642919537201529</v>
      </c>
    </row>
    <row r="90" spans="1:12" s="366" customFormat="1">
      <c r="A90" s="433"/>
      <c r="B90" s="428" t="s">
        <v>119</v>
      </c>
      <c r="C90" s="429">
        <v>-7.509125</v>
      </c>
      <c r="D90" s="429">
        <v>-7.509125</v>
      </c>
      <c r="E90" s="429">
        <v>-12.499124999999999</v>
      </c>
      <c r="F90" s="429">
        <v>-12.499124999999999</v>
      </c>
      <c r="G90" s="429">
        <v>-7.509125</v>
      </c>
      <c r="H90" s="417">
        <v>-7.509125</v>
      </c>
      <c r="I90" s="429">
        <v>-15.01825</v>
      </c>
      <c r="J90" s="417">
        <v>-15.01825</v>
      </c>
      <c r="K90" s="417">
        <f t="shared" si="2"/>
        <v>-2.5191250000000007</v>
      </c>
      <c r="L90" s="418">
        <f t="shared" si="3"/>
        <v>0.20154410808756618</v>
      </c>
    </row>
    <row r="91" spans="1:12" s="366" customFormat="1">
      <c r="A91" s="433"/>
      <c r="B91" s="428" t="s">
        <v>120</v>
      </c>
      <c r="C91" s="429">
        <v>-13.305961612000001</v>
      </c>
      <c r="D91" s="429">
        <v>-17.800102819999999</v>
      </c>
      <c r="E91" s="429">
        <v>228.47689717999998</v>
      </c>
      <c r="F91" s="429">
        <v>223.02756609299999</v>
      </c>
      <c r="G91" s="429">
        <v>-5.3330000000000002</v>
      </c>
      <c r="H91" s="417">
        <v>123.943907567</v>
      </c>
      <c r="I91" s="429">
        <v>118.610907567</v>
      </c>
      <c r="J91" s="417">
        <v>113.11457913699999</v>
      </c>
      <c r="K91" s="417">
        <f t="shared" si="2"/>
        <v>-109.912986956</v>
      </c>
      <c r="L91" s="418">
        <f t="shared" si="3"/>
        <v>-0.4928224294487773</v>
      </c>
    </row>
    <row r="92" spans="1:12" s="366" customFormat="1">
      <c r="A92" s="433"/>
      <c r="B92" s="428" t="s">
        <v>121</v>
      </c>
      <c r="C92" s="429">
        <v>-13.305961612000001</v>
      </c>
      <c r="D92" s="429">
        <v>-17.800102819999999</v>
      </c>
      <c r="E92" s="429">
        <v>-17.800102819999999</v>
      </c>
      <c r="F92" s="429">
        <v>-23.249433907</v>
      </c>
      <c r="G92" s="429">
        <v>-5.3330000000000002</v>
      </c>
      <c r="H92" s="417">
        <v>-5.3330000000000002</v>
      </c>
      <c r="I92" s="429">
        <v>-5.3330000000000002</v>
      </c>
      <c r="J92" s="417">
        <v>-10.82932843</v>
      </c>
      <c r="K92" s="417">
        <f t="shared" si="2"/>
        <v>12.420105477</v>
      </c>
      <c r="L92" s="418">
        <f t="shared" si="3"/>
        <v>-0.53421109204988093</v>
      </c>
    </row>
    <row r="93" spans="1:12" s="366" customFormat="1" ht="12.75" hidden="1" customHeight="1">
      <c r="A93" s="433"/>
      <c r="B93" s="428" t="s">
        <v>122</v>
      </c>
      <c r="C93" s="429">
        <v>0</v>
      </c>
      <c r="D93" s="429">
        <v>0</v>
      </c>
      <c r="E93" s="429">
        <v>0</v>
      </c>
      <c r="F93" s="429">
        <v>0</v>
      </c>
      <c r="G93" s="429"/>
      <c r="H93" s="417">
        <v>0</v>
      </c>
      <c r="I93" s="429">
        <v>0</v>
      </c>
      <c r="J93" s="417">
        <v>0</v>
      </c>
      <c r="K93" s="417">
        <f t="shared" si="2"/>
        <v>0</v>
      </c>
      <c r="L93" s="418" t="e">
        <f t="shared" si="3"/>
        <v>#DIV/0!</v>
      </c>
    </row>
    <row r="94" spans="1:12" s="366" customFormat="1" ht="12.75" hidden="1" customHeight="1">
      <c r="A94" s="433"/>
      <c r="B94" s="428" t="s">
        <v>123</v>
      </c>
      <c r="C94" s="429">
        <v>0</v>
      </c>
      <c r="D94" s="429">
        <v>0</v>
      </c>
      <c r="E94" s="429">
        <v>0</v>
      </c>
      <c r="F94" s="429">
        <v>0</v>
      </c>
      <c r="G94" s="429"/>
      <c r="H94" s="417">
        <v>0</v>
      </c>
      <c r="I94" s="429">
        <v>0</v>
      </c>
      <c r="J94" s="417">
        <v>0</v>
      </c>
      <c r="K94" s="417">
        <f t="shared" si="2"/>
        <v>0</v>
      </c>
      <c r="L94" s="418" t="e">
        <f t="shared" si="3"/>
        <v>#DIV/0!</v>
      </c>
    </row>
    <row r="95" spans="1:12" s="366" customFormat="1">
      <c r="A95" s="433"/>
      <c r="B95" s="428" t="s">
        <v>124</v>
      </c>
      <c r="C95" s="429">
        <v>0</v>
      </c>
      <c r="D95" s="429">
        <v>0</v>
      </c>
      <c r="E95" s="429">
        <v>246.27699999999999</v>
      </c>
      <c r="F95" s="429">
        <v>246.27699999999999</v>
      </c>
      <c r="G95" s="429">
        <v>0</v>
      </c>
      <c r="H95" s="417">
        <v>134.75042676000001</v>
      </c>
      <c r="I95" s="429">
        <v>134.75042676000001</v>
      </c>
      <c r="J95" s="417">
        <v>134.75042676000001</v>
      </c>
      <c r="K95" s="417">
        <f t="shared" si="2"/>
        <v>-111.52657323999998</v>
      </c>
      <c r="L95" s="418">
        <f t="shared" si="3"/>
        <v>-0.45285013720323042</v>
      </c>
    </row>
    <row r="96" spans="1:12" s="366" customFormat="1">
      <c r="A96" s="433"/>
      <c r="B96" s="428" t="s">
        <v>125</v>
      </c>
      <c r="C96" s="429">
        <v>0</v>
      </c>
      <c r="D96" s="429">
        <v>0</v>
      </c>
      <c r="E96" s="429">
        <v>0</v>
      </c>
      <c r="F96" s="429">
        <v>0</v>
      </c>
      <c r="G96" s="429">
        <v>0</v>
      </c>
      <c r="H96" s="417">
        <v>-5.4735191929999996</v>
      </c>
      <c r="I96" s="429">
        <v>-10.806519193</v>
      </c>
      <c r="J96" s="417">
        <v>-10.806519193</v>
      </c>
      <c r="K96" s="417">
        <f t="shared" si="2"/>
        <v>-10.806519193</v>
      </c>
      <c r="L96" s="418" t="e">
        <f t="shared" si="3"/>
        <v>#DIV/0!</v>
      </c>
    </row>
    <row r="97" spans="1:12" s="459" customFormat="1">
      <c r="A97" s="458"/>
      <c r="B97" s="428" t="s">
        <v>126</v>
      </c>
      <c r="C97" s="429">
        <v>160.81803879</v>
      </c>
      <c r="D97" s="429">
        <v>162.27076538099999</v>
      </c>
      <c r="E97" s="429">
        <v>77.213053824999989</v>
      </c>
      <c r="F97" s="429">
        <v>1.222382947999975</v>
      </c>
      <c r="G97" s="429">
        <v>205.19312487400001</v>
      </c>
      <c r="H97" s="417">
        <v>18.894474692999978</v>
      </c>
      <c r="I97" s="429">
        <v>-80.751826624000032</v>
      </c>
      <c r="J97" s="417">
        <v>28.505211656999961</v>
      </c>
      <c r="K97" s="417">
        <f t="shared" si="2"/>
        <v>27.282828708999986</v>
      </c>
      <c r="L97" s="418">
        <f t="shared" si="3"/>
        <v>22.319379334961521</v>
      </c>
    </row>
    <row r="98" spans="1:12" s="366" customFormat="1">
      <c r="A98" s="433"/>
      <c r="B98" s="440" t="s">
        <v>127</v>
      </c>
      <c r="C98" s="429">
        <v>9.7291967019999959</v>
      </c>
      <c r="D98" s="429">
        <v>7.4038865969999961</v>
      </c>
      <c r="E98" s="429">
        <v>11.815127234999999</v>
      </c>
      <c r="F98" s="429">
        <v>1.008686940999997</v>
      </c>
      <c r="G98" s="429">
        <v>49.672942003999999</v>
      </c>
      <c r="H98" s="417">
        <v>91.504358116000006</v>
      </c>
      <c r="I98" s="429">
        <v>18.358336431000012</v>
      </c>
      <c r="J98" s="417">
        <v>18.228240626000016</v>
      </c>
      <c r="K98" s="417">
        <f t="shared" si="2"/>
        <v>17.219553685000019</v>
      </c>
      <c r="L98" s="418">
        <f t="shared" si="3"/>
        <v>17.071256685378334</v>
      </c>
    </row>
    <row r="99" spans="1:12" s="427" customFormat="1">
      <c r="A99" s="425"/>
      <c r="B99" s="440" t="s">
        <v>128</v>
      </c>
      <c r="C99" s="426">
        <v>150.41468415900002</v>
      </c>
      <c r="D99" s="426">
        <v>138.79136166000001</v>
      </c>
      <c r="E99" s="426">
        <v>50.628590125000009</v>
      </c>
      <c r="F99" s="426">
        <v>6.3524126209999991</v>
      </c>
      <c r="G99" s="426">
        <v>147.48465769500001</v>
      </c>
      <c r="H99" s="417">
        <v>-113.50130223500003</v>
      </c>
      <c r="I99" s="426">
        <v>-112.85900046500002</v>
      </c>
      <c r="J99" s="417">
        <v>-56.067503398000028</v>
      </c>
      <c r="K99" s="417">
        <f t="shared" si="2"/>
        <v>-62.419916019000027</v>
      </c>
      <c r="L99" s="418">
        <f t="shared" si="3"/>
        <v>-9.8261746745874738</v>
      </c>
    </row>
    <row r="100" spans="1:12" s="427" customFormat="1">
      <c r="A100" s="425"/>
      <c r="B100" s="440" t="s">
        <v>129</v>
      </c>
      <c r="C100" s="426">
        <v>1.9861526289999998</v>
      </c>
      <c r="D100" s="426">
        <v>3.9565296909999996</v>
      </c>
      <c r="E100" s="426">
        <v>5.9988556879999999</v>
      </c>
      <c r="F100" s="426">
        <v>8.1112853660000006</v>
      </c>
      <c r="G100" s="426">
        <v>4.7860450540000006</v>
      </c>
      <c r="H100" s="417">
        <v>9.5131103010000011</v>
      </c>
      <c r="I100" s="426">
        <v>13.667245693000002</v>
      </c>
      <c r="J100" s="417">
        <v>20.237732872000002</v>
      </c>
      <c r="K100" s="417">
        <f t="shared" si="2"/>
        <v>12.126447506000002</v>
      </c>
      <c r="L100" s="418">
        <f t="shared" si="3"/>
        <v>1.4950093553396999</v>
      </c>
    </row>
    <row r="101" spans="1:12" s="414" customFormat="1">
      <c r="A101" s="421" t="s">
        <v>130</v>
      </c>
      <c r="B101" s="422" t="s">
        <v>108</v>
      </c>
      <c r="C101" s="423">
        <v>250.07342001426403</v>
      </c>
      <c r="D101" s="423">
        <v>718.99547174484064</v>
      </c>
      <c r="E101" s="423">
        <v>873.74687433231099</v>
      </c>
      <c r="F101" s="423">
        <v>1031.0107242544334</v>
      </c>
      <c r="G101" s="423">
        <v>485.5740138566938</v>
      </c>
      <c r="H101" s="417">
        <v>804.16110382347847</v>
      </c>
      <c r="I101" s="423">
        <v>828.45828848377516</v>
      </c>
      <c r="J101" s="417">
        <v>772.68823063660682</v>
      </c>
      <c r="K101" s="417">
        <f t="shared" si="2"/>
        <v>-258.32249361782658</v>
      </c>
      <c r="L101" s="418">
        <f t="shared" si="3"/>
        <v>-0.25055267374122636</v>
      </c>
    </row>
    <row r="102" spans="1:12" s="366" customFormat="1">
      <c r="A102" s="433"/>
      <c r="B102" s="428" t="s">
        <v>131</v>
      </c>
      <c r="C102" s="429">
        <v>0</v>
      </c>
      <c r="D102" s="429">
        <v>0</v>
      </c>
      <c r="E102" s="429">
        <v>0</v>
      </c>
      <c r="F102" s="429">
        <v>0</v>
      </c>
      <c r="G102" s="429">
        <v>0</v>
      </c>
      <c r="H102" s="417">
        <v>0</v>
      </c>
      <c r="I102" s="429">
        <v>0</v>
      </c>
      <c r="J102" s="417">
        <v>0</v>
      </c>
      <c r="K102" s="417">
        <f t="shared" si="2"/>
        <v>0</v>
      </c>
      <c r="L102" s="418" t="e">
        <f t="shared" si="3"/>
        <v>#DIV/0!</v>
      </c>
    </row>
    <row r="103" spans="1:12" s="366" customFormat="1">
      <c r="A103" s="433"/>
      <c r="B103" s="428" t="s">
        <v>132</v>
      </c>
      <c r="C103" s="429">
        <v>129.90905994982501</v>
      </c>
      <c r="D103" s="429">
        <v>469.74426173073493</v>
      </c>
      <c r="E103" s="429">
        <v>498.65579223319992</v>
      </c>
      <c r="F103" s="429">
        <v>565.89188347409993</v>
      </c>
      <c r="G103" s="429">
        <v>142.494109949825</v>
      </c>
      <c r="H103" s="417">
        <v>258.828613616273</v>
      </c>
      <c r="I103" s="429">
        <v>219.77460562373801</v>
      </c>
      <c r="J103" s="417">
        <v>273.77104777673799</v>
      </c>
      <c r="K103" s="417">
        <f t="shared" si="2"/>
        <v>-292.12083569736194</v>
      </c>
      <c r="L103" s="418">
        <f t="shared" si="3"/>
        <v>-0.5162131570150571</v>
      </c>
    </row>
    <row r="104" spans="1:12" s="460" customFormat="1" ht="14">
      <c r="A104" s="458"/>
      <c r="B104" s="428" t="s">
        <v>133</v>
      </c>
      <c r="C104" s="429">
        <v>0</v>
      </c>
      <c r="D104" s="429">
        <v>15.75</v>
      </c>
      <c r="E104" s="429">
        <v>20.498250000000002</v>
      </c>
      <c r="F104" s="429">
        <v>61.307450000000003</v>
      </c>
      <c r="G104" s="429">
        <v>14.24</v>
      </c>
      <c r="H104" s="417">
        <v>22.695</v>
      </c>
      <c r="I104" s="429">
        <v>29.516204980000005</v>
      </c>
      <c r="J104" s="417">
        <v>62.948204980000007</v>
      </c>
      <c r="K104" s="417">
        <f t="shared" si="2"/>
        <v>1.6407549800000041</v>
      </c>
      <c r="L104" s="418">
        <f t="shared" si="3"/>
        <v>2.676273405597529E-2</v>
      </c>
    </row>
    <row r="105" spans="1:12" s="460" customFormat="1" ht="14">
      <c r="A105" s="458"/>
      <c r="B105" s="428" t="s">
        <v>134</v>
      </c>
      <c r="C105" s="429">
        <v>136.63804249999998</v>
      </c>
      <c r="D105" s="429">
        <v>185.60503249999999</v>
      </c>
      <c r="E105" s="429">
        <v>219.01642055264</v>
      </c>
      <c r="F105" s="429">
        <v>257.50142055264001</v>
      </c>
      <c r="G105" s="429">
        <v>134.9830925</v>
      </c>
      <c r="H105" s="417">
        <v>246.5141625</v>
      </c>
      <c r="I105" s="429">
        <v>207.45160355263999</v>
      </c>
      <c r="J105" s="417">
        <v>228.01604570563998</v>
      </c>
      <c r="K105" s="417">
        <f t="shared" si="2"/>
        <v>-29.485374847000031</v>
      </c>
      <c r="L105" s="418">
        <f t="shared" si="3"/>
        <v>-0.1145056783908982</v>
      </c>
    </row>
    <row r="106" spans="1:12" s="435" customFormat="1" ht="14">
      <c r="A106" s="433"/>
      <c r="B106" s="422" t="s">
        <v>135</v>
      </c>
      <c r="C106" s="429">
        <v>-1.7381075501750003</v>
      </c>
      <c r="D106" s="429">
        <v>-13.796216309275</v>
      </c>
      <c r="E106" s="429">
        <v>-15.53432385945</v>
      </c>
      <c r="F106" s="429">
        <v>-27.592432618549999</v>
      </c>
      <c r="G106" s="429">
        <v>-1.7381075501750003</v>
      </c>
      <c r="H106" s="417">
        <v>-5.3896738837269904</v>
      </c>
      <c r="I106" s="429">
        <v>-7.2114529089019905</v>
      </c>
      <c r="J106" s="417">
        <v>-7.2114529089019905</v>
      </c>
      <c r="K106" s="417">
        <f t="shared" si="2"/>
        <v>20.38097970964801</v>
      </c>
      <c r="L106" s="418">
        <f t="shared" si="3"/>
        <v>-0.73864381554912872</v>
      </c>
    </row>
    <row r="107" spans="1:12" s="435" customFormat="1" ht="14">
      <c r="A107" s="433"/>
      <c r="B107" s="422" t="s">
        <v>136</v>
      </c>
      <c r="C107" s="429">
        <v>0</v>
      </c>
      <c r="D107" s="429">
        <v>287.17632054000995</v>
      </c>
      <c r="E107" s="429">
        <v>287.17632054000995</v>
      </c>
      <c r="F107" s="429">
        <v>287.17632054000995</v>
      </c>
      <c r="G107" s="429">
        <v>0</v>
      </c>
      <c r="H107" s="417">
        <v>0</v>
      </c>
      <c r="I107" s="429">
        <v>0</v>
      </c>
      <c r="J107" s="417">
        <v>0</v>
      </c>
      <c r="K107" s="417">
        <f t="shared" si="2"/>
        <v>-287.17632054000995</v>
      </c>
      <c r="L107" s="418">
        <f t="shared" si="3"/>
        <v>-1</v>
      </c>
    </row>
    <row r="108" spans="1:12" s="435" customFormat="1" ht="14">
      <c r="A108" s="433"/>
      <c r="B108" s="422" t="s">
        <v>137</v>
      </c>
      <c r="C108" s="429">
        <v>-4.990875</v>
      </c>
      <c r="D108" s="429">
        <v>-4.990875</v>
      </c>
      <c r="E108" s="429">
        <v>-12.500875000000001</v>
      </c>
      <c r="F108" s="429">
        <v>-12.500875000000001</v>
      </c>
      <c r="G108" s="429">
        <v>-4.990875</v>
      </c>
      <c r="H108" s="417">
        <v>-4.990875</v>
      </c>
      <c r="I108" s="429">
        <v>-9.9817499999999999</v>
      </c>
      <c r="J108" s="417">
        <v>-9.9817499999999999</v>
      </c>
      <c r="K108" s="417">
        <f t="shared" si="2"/>
        <v>2.5191250000000007</v>
      </c>
      <c r="L108" s="418">
        <f t="shared" si="3"/>
        <v>-0.20151589388742797</v>
      </c>
    </row>
    <row r="109" spans="1:12" s="366" customFormat="1">
      <c r="A109" s="433"/>
      <c r="B109" s="422" t="s">
        <v>138</v>
      </c>
      <c r="C109" s="429">
        <v>120.16436006443901</v>
      </c>
      <c r="D109" s="429">
        <v>249.25121001410568</v>
      </c>
      <c r="E109" s="429">
        <v>375.09108209911108</v>
      </c>
      <c r="F109" s="429">
        <v>465.11884078033347</v>
      </c>
      <c r="G109" s="429">
        <v>343.07990390686876</v>
      </c>
      <c r="H109" s="417">
        <v>545.33249020720541</v>
      </c>
      <c r="I109" s="429">
        <v>608.68368286003715</v>
      </c>
      <c r="J109" s="417">
        <v>498.91718285986883</v>
      </c>
      <c r="K109" s="417">
        <f t="shared" si="2"/>
        <v>33.79834207953536</v>
      </c>
      <c r="L109" s="418">
        <f t="shared" si="3"/>
        <v>7.2666035249897787E-2</v>
      </c>
    </row>
    <row r="110" spans="1:12" s="435" customFormat="1" ht="14">
      <c r="A110" s="433"/>
      <c r="B110" s="428" t="s">
        <v>139</v>
      </c>
      <c r="C110" s="429">
        <v>0</v>
      </c>
      <c r="D110" s="429">
        <v>112.49747480000001</v>
      </c>
      <c r="E110" s="429">
        <v>112.49747480000001</v>
      </c>
      <c r="F110" s="429">
        <v>170.967275457</v>
      </c>
      <c r="G110" s="429">
        <v>106.92544853599999</v>
      </c>
      <c r="H110" s="417">
        <v>282.656328836</v>
      </c>
      <c r="I110" s="429">
        <v>282.656328836</v>
      </c>
      <c r="J110" s="417">
        <v>307.73632883599998</v>
      </c>
      <c r="K110" s="417">
        <f t="shared" si="2"/>
        <v>136.76905337899998</v>
      </c>
      <c r="L110" s="418">
        <f t="shared" si="3"/>
        <v>0.79997211754947095</v>
      </c>
    </row>
    <row r="111" spans="1:12" s="435" customFormat="1" ht="14">
      <c r="A111" s="433"/>
      <c r="B111" s="428" t="s">
        <v>140</v>
      </c>
      <c r="C111" s="461">
        <v>172.7</v>
      </c>
      <c r="D111" s="461">
        <v>282.6999999996666</v>
      </c>
      <c r="E111" s="461">
        <v>454.39999999977761</v>
      </c>
      <c r="F111" s="461">
        <v>516.31999999999994</v>
      </c>
      <c r="G111" s="461">
        <v>195.39999999999992</v>
      </c>
      <c r="H111" s="417">
        <v>238.4000000003366</v>
      </c>
      <c r="I111" s="461">
        <v>351.7000000001683</v>
      </c>
      <c r="J111" s="417">
        <v>414.99999999999994</v>
      </c>
      <c r="K111" s="417">
        <f t="shared" si="2"/>
        <v>-101.32</v>
      </c>
      <c r="L111" s="418">
        <f t="shared" si="3"/>
        <v>-0.19623489308955688</v>
      </c>
    </row>
    <row r="112" spans="1:12" s="435" customFormat="1" ht="14">
      <c r="A112" s="433"/>
      <c r="B112" s="428" t="s">
        <v>141</v>
      </c>
      <c r="C112" s="429">
        <v>0</v>
      </c>
      <c r="D112" s="429">
        <v>27.42329415</v>
      </c>
      <c r="E112" s="429">
        <v>40.980000000000004</v>
      </c>
      <c r="F112" s="429">
        <v>58.804827024000005</v>
      </c>
      <c r="G112" s="429">
        <v>0</v>
      </c>
      <c r="H112" s="417">
        <v>0</v>
      </c>
      <c r="I112" s="429">
        <v>40.812136652999996</v>
      </c>
      <c r="J112" s="417">
        <v>40.812136652999996</v>
      </c>
      <c r="K112" s="417">
        <f t="shared" si="2"/>
        <v>-17.992690371000009</v>
      </c>
      <c r="L112" s="418">
        <f t="shared" si="3"/>
        <v>-0.30597301754933581</v>
      </c>
    </row>
    <row r="113" spans="1:12" s="435" customFormat="1" ht="14">
      <c r="A113" s="433"/>
      <c r="B113" s="428" t="s">
        <v>142</v>
      </c>
      <c r="C113" s="429">
        <v>0</v>
      </c>
      <c r="D113" s="429">
        <v>0</v>
      </c>
      <c r="E113" s="429">
        <v>0</v>
      </c>
      <c r="F113" s="429">
        <v>0</v>
      </c>
      <c r="G113" s="429">
        <v>130.64039611999999</v>
      </c>
      <c r="H113" s="417">
        <v>251.21139611999999</v>
      </c>
      <c r="I113" s="429">
        <v>251.21139611999999</v>
      </c>
      <c r="J113" s="417">
        <v>251.21139611999999</v>
      </c>
      <c r="K113" s="417">
        <f t="shared" si="2"/>
        <v>251.21139611999999</v>
      </c>
      <c r="L113" s="418" t="e">
        <f t="shared" si="3"/>
        <v>#DIV/0!</v>
      </c>
    </row>
    <row r="114" spans="1:12" s="435" customFormat="1" ht="14">
      <c r="A114" s="433"/>
      <c r="B114" s="428" t="s">
        <v>143</v>
      </c>
      <c r="C114" s="429">
        <v>-52.535639935560994</v>
      </c>
      <c r="D114" s="429">
        <v>-173.36955893556097</v>
      </c>
      <c r="E114" s="429">
        <v>-232.78639270066654</v>
      </c>
      <c r="F114" s="429">
        <v>-280.97326170066651</v>
      </c>
      <c r="G114" s="429">
        <v>-89.885940749131152</v>
      </c>
      <c r="H114" s="417">
        <v>-226.93523474913113</v>
      </c>
      <c r="I114" s="429">
        <v>-317.69617874913115</v>
      </c>
      <c r="J114" s="417">
        <v>-515.84267874913121</v>
      </c>
      <c r="K114" s="417">
        <f t="shared" si="2"/>
        <v>-234.8694170484647</v>
      </c>
      <c r="L114" s="418">
        <f t="shared" si="3"/>
        <v>0.83591376498551551</v>
      </c>
    </row>
    <row r="115" spans="1:12" s="435" customFormat="1" ht="14.25" hidden="1" customHeight="1">
      <c r="A115" s="433"/>
      <c r="B115" s="428" t="s">
        <v>144</v>
      </c>
      <c r="C115" s="429">
        <v>0</v>
      </c>
      <c r="D115" s="429">
        <v>0</v>
      </c>
      <c r="E115" s="429">
        <v>0</v>
      </c>
      <c r="F115" s="429">
        <v>0</v>
      </c>
      <c r="G115" s="429"/>
      <c r="H115" s="417">
        <v>0</v>
      </c>
      <c r="I115" s="429">
        <v>0</v>
      </c>
      <c r="J115" s="417">
        <v>0</v>
      </c>
      <c r="K115" s="417">
        <f t="shared" si="2"/>
        <v>0</v>
      </c>
      <c r="L115" s="418" t="e">
        <f t="shared" si="3"/>
        <v>#DIV/0!</v>
      </c>
    </row>
    <row r="116" spans="1:12" s="435" customFormat="1" ht="14.25" hidden="1" customHeight="1">
      <c r="A116" s="433"/>
      <c r="B116" s="428" t="s">
        <v>145</v>
      </c>
      <c r="C116" s="429">
        <v>0</v>
      </c>
      <c r="D116" s="429">
        <v>0</v>
      </c>
      <c r="E116" s="429">
        <v>0</v>
      </c>
      <c r="F116" s="429">
        <v>0</v>
      </c>
      <c r="G116" s="429"/>
      <c r="H116" s="417">
        <v>0</v>
      </c>
      <c r="I116" s="429">
        <v>0</v>
      </c>
      <c r="J116" s="417">
        <v>0</v>
      </c>
      <c r="K116" s="417">
        <f t="shared" si="2"/>
        <v>0</v>
      </c>
      <c r="L116" s="418" t="e">
        <f t="shared" si="3"/>
        <v>#DIV/0!</v>
      </c>
    </row>
    <row r="117" spans="1:12" s="366" customFormat="1">
      <c r="A117" s="433"/>
      <c r="B117" s="428" t="s">
        <v>146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17">
        <v>0</v>
      </c>
      <c r="I117" s="429">
        <v>0</v>
      </c>
      <c r="J117" s="417">
        <v>0</v>
      </c>
      <c r="K117" s="417">
        <f t="shared" si="2"/>
        <v>0</v>
      </c>
      <c r="L117" s="418" t="e">
        <f t="shared" si="3"/>
        <v>#DIV/0!</v>
      </c>
    </row>
    <row r="118" spans="1:12">
      <c r="H118" s="417"/>
      <c r="J118" s="417"/>
    </row>
    <row r="121" spans="1:12">
      <c r="G121" s="9"/>
      <c r="H121" s="9"/>
      <c r="I121" s="9"/>
      <c r="J121" s="9"/>
    </row>
  </sheetData>
  <autoFilter ref="A1:F118" xr:uid="{00000000-0009-0000-0000-000004000000}"/>
  <pageMargins left="0.70866141732283472" right="0.70866141732283472" top="0.74803149606299213" bottom="1.3385826771653544" header="0.31496062992125984" footer="0.31496062992125984"/>
  <pageSetup paperSize="9" scale="35" orientation="portrait" r:id="rId1"/>
  <rowBreaks count="1" manualBreakCount="1">
    <brk id="6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D136"/>
  <sheetViews>
    <sheetView topLeftCell="A4" zoomScale="90" zoomScaleNormal="90" zoomScaleSheetLayoutView="90" zoomScalePageLayoutView="117" workbookViewId="0">
      <pane xSplit="2" ySplit="3" topLeftCell="C7" activePane="bottomRight" state="frozen"/>
      <selection activeCell="A4" sqref="A4"/>
      <selection pane="topRight" activeCell="C4" sqref="C4"/>
      <selection pane="bottomLeft" activeCell="A6" sqref="A6"/>
      <selection pane="bottomRight" activeCell="D4" sqref="D1:D1048576"/>
    </sheetView>
  </sheetViews>
  <sheetFormatPr baseColWidth="10" defaultColWidth="9.1640625" defaultRowHeight="13"/>
  <cols>
    <col min="1" max="1" width="6.5" customWidth="1"/>
    <col min="2" max="2" width="36.6640625" customWidth="1"/>
    <col min="3" max="3" width="14.5" customWidth="1"/>
    <col min="4" max="35" width="11.33203125" customWidth="1"/>
  </cols>
  <sheetData>
    <row r="1" spans="1:82" ht="19.5" customHeight="1">
      <c r="A1" s="1" t="s">
        <v>0</v>
      </c>
      <c r="B1" s="2"/>
      <c r="C1" s="3"/>
    </row>
    <row r="2" spans="1:82" ht="19.5" customHeight="1">
      <c r="A2" s="1" t="s">
        <v>1</v>
      </c>
      <c r="B2" s="2"/>
      <c r="C2" s="4"/>
    </row>
    <row r="3" spans="1:82" ht="30.75" customHeight="1">
      <c r="A3" s="5" t="s">
        <v>2</v>
      </c>
      <c r="B3" s="514" t="s">
        <v>3</v>
      </c>
      <c r="C3" s="508"/>
      <c r="CD3" t="e">
        <f>CC3/CB3-1</f>
        <v>#DIV/0!</v>
      </c>
    </row>
    <row r="4" spans="1:82" ht="30.75" customHeight="1">
      <c r="A4" s="5"/>
      <c r="B4" s="393"/>
      <c r="C4" s="392"/>
    </row>
    <row r="5" spans="1:82" ht="17">
      <c r="A5" s="509"/>
      <c r="B5" s="510"/>
      <c r="C5" s="328" t="s">
        <v>676</v>
      </c>
    </row>
    <row r="6" spans="1:82" ht="33" customHeight="1">
      <c r="A6" s="7"/>
      <c r="B6" s="8" t="s">
        <v>5</v>
      </c>
      <c r="C6" s="329"/>
    </row>
    <row r="7" spans="1:82" s="12" customFormat="1" ht="24.75" customHeight="1">
      <c r="A7" s="7" t="s">
        <v>6</v>
      </c>
      <c r="B7" s="10" t="s">
        <v>677</v>
      </c>
      <c r="C7" s="11">
        <v>790.64450891774368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82" ht="24.75" customHeight="1">
      <c r="A8" s="13" t="s">
        <v>8</v>
      </c>
      <c r="B8" s="14" t="s">
        <v>9</v>
      </c>
      <c r="C8" s="15">
        <v>707.4394507599103</v>
      </c>
    </row>
    <row r="9" spans="1:82" s="20" customFormat="1" ht="24.75" customHeight="1">
      <c r="A9" s="17" t="s">
        <v>10</v>
      </c>
      <c r="B9" s="18" t="s">
        <v>11</v>
      </c>
      <c r="C9" s="19">
        <v>258.96086524666003</v>
      </c>
    </row>
    <row r="10" spans="1:82" s="24" customFormat="1" ht="24.75" customHeight="1">
      <c r="A10" s="21"/>
      <c r="B10" s="22" t="s">
        <v>12</v>
      </c>
      <c r="C10" s="23">
        <v>132.135750067</v>
      </c>
    </row>
    <row r="11" spans="1:82" s="24" customFormat="1" ht="24.75" customHeight="1">
      <c r="A11" s="21"/>
      <c r="B11" s="22" t="s">
        <v>13</v>
      </c>
      <c r="C11" s="23">
        <v>125.31688560066002</v>
      </c>
    </row>
    <row r="12" spans="1:82" ht="24.75" customHeight="1">
      <c r="A12" s="13"/>
      <c r="B12" s="22" t="s">
        <v>14</v>
      </c>
      <c r="C12" s="23">
        <v>10.993595392</v>
      </c>
    </row>
    <row r="13" spans="1:82" s="20" customFormat="1" ht="24.75" customHeight="1">
      <c r="A13" s="17" t="s">
        <v>15</v>
      </c>
      <c r="B13" s="18" t="s">
        <v>16</v>
      </c>
      <c r="C13" s="19">
        <v>10.793714689999998</v>
      </c>
    </row>
    <row r="14" spans="1:82" s="20" customFormat="1" ht="24.75" customHeight="1">
      <c r="A14" s="17"/>
      <c r="B14" s="336" t="s">
        <v>678</v>
      </c>
      <c r="C14" s="19">
        <v>1.8297504739999999</v>
      </c>
    </row>
    <row r="15" spans="1:82" s="20" customFormat="1" ht="24.75" customHeight="1">
      <c r="A15" s="17" t="s">
        <v>17</v>
      </c>
      <c r="B15" s="18" t="s">
        <v>18</v>
      </c>
      <c r="C15" s="19">
        <v>9.105482748</v>
      </c>
    </row>
    <row r="16" spans="1:82" s="20" customFormat="1" ht="24.75" customHeight="1">
      <c r="A16" s="17" t="s">
        <v>19</v>
      </c>
      <c r="B16" s="18" t="s">
        <v>20</v>
      </c>
      <c r="C16" s="19">
        <v>315.26602084524995</v>
      </c>
      <c r="D16" s="337"/>
    </row>
    <row r="17" spans="1:3" s="27" customFormat="1" ht="24.75" customHeight="1">
      <c r="A17" s="25"/>
      <c r="B17" s="26" t="s">
        <v>21</v>
      </c>
      <c r="C17" s="23">
        <v>79.433173799000002</v>
      </c>
    </row>
    <row r="18" spans="1:3" s="30" customFormat="1" ht="24.75" hidden="1" customHeight="1">
      <c r="A18" s="28"/>
      <c r="B18" s="29" t="s">
        <v>22</v>
      </c>
      <c r="C18" s="23">
        <v>0</v>
      </c>
    </row>
    <row r="19" spans="1:3" s="30" customFormat="1" ht="24.75" customHeight="1">
      <c r="A19" s="28"/>
      <c r="B19" s="26" t="s">
        <v>23</v>
      </c>
      <c r="C19" s="23">
        <v>132.397673094</v>
      </c>
    </row>
    <row r="20" spans="1:3" s="30" customFormat="1" ht="24.75" hidden="1" customHeight="1">
      <c r="A20" s="28"/>
      <c r="B20" s="29" t="s">
        <v>24</v>
      </c>
      <c r="C20" s="23">
        <v>0</v>
      </c>
    </row>
    <row r="21" spans="1:3" s="30" customFormat="1" ht="24.75" customHeight="1">
      <c r="A21" s="28"/>
      <c r="B21" s="29" t="s">
        <v>25</v>
      </c>
      <c r="C21" s="23">
        <v>11.803752580000001</v>
      </c>
    </row>
    <row r="22" spans="1:3" s="30" customFormat="1" ht="24.75" customHeight="1">
      <c r="A22" s="28"/>
      <c r="B22" s="29" t="s">
        <v>691</v>
      </c>
      <c r="C22" s="23">
        <v>15.898534274099999</v>
      </c>
    </row>
    <row r="23" spans="1:3" s="20" customFormat="1" ht="27.75" customHeight="1">
      <c r="A23" s="17" t="s">
        <v>26</v>
      </c>
      <c r="B23" s="32" t="s">
        <v>27</v>
      </c>
      <c r="C23" s="19">
        <v>102.782110219</v>
      </c>
    </row>
    <row r="24" spans="1:3" s="20" customFormat="1" ht="24.75" customHeight="1">
      <c r="A24" s="17"/>
      <c r="B24" s="18" t="s">
        <v>679</v>
      </c>
      <c r="C24" s="19">
        <v>10.192849362</v>
      </c>
    </row>
    <row r="25" spans="1:3" s="27" customFormat="1" ht="24.75" hidden="1" customHeight="1">
      <c r="A25" s="25"/>
      <c r="B25" s="26" t="s">
        <v>28</v>
      </c>
      <c r="C25" s="23"/>
    </row>
    <row r="26" spans="1:3" ht="24.75" customHeight="1">
      <c r="A26" s="13" t="s">
        <v>29</v>
      </c>
      <c r="B26" s="33" t="s">
        <v>30</v>
      </c>
      <c r="C26" s="15">
        <v>10.531257011000001</v>
      </c>
    </row>
    <row r="27" spans="1:3" s="20" customFormat="1" ht="24.75" customHeight="1">
      <c r="A27" s="17" t="s">
        <v>31</v>
      </c>
      <c r="B27" s="34" t="s">
        <v>32</v>
      </c>
      <c r="C27" s="19">
        <v>0</v>
      </c>
    </row>
    <row r="28" spans="1:3" s="20" customFormat="1" ht="24.75" customHeight="1">
      <c r="A28" s="17" t="s">
        <v>33</v>
      </c>
      <c r="B28" s="34" t="s">
        <v>34</v>
      </c>
      <c r="C28" s="19">
        <v>31.556000000000001</v>
      </c>
    </row>
    <row r="29" spans="1:3" ht="24.75" customHeight="1">
      <c r="A29" s="13"/>
      <c r="B29" s="14" t="s">
        <v>35</v>
      </c>
      <c r="C29" s="15">
        <v>4.3559999999999999</v>
      </c>
    </row>
    <row r="30" spans="1:3" ht="24.75" customHeight="1">
      <c r="A30" s="13"/>
      <c r="B30" s="14" t="s">
        <v>36</v>
      </c>
      <c r="C30" s="15">
        <v>27.2</v>
      </c>
    </row>
    <row r="31" spans="1:3" s="20" customFormat="1" ht="24.75" customHeight="1">
      <c r="A31" s="17" t="s">
        <v>37</v>
      </c>
      <c r="B31" s="34" t="s">
        <v>38</v>
      </c>
      <c r="C31" s="19">
        <v>51.649058157833338</v>
      </c>
    </row>
    <row r="32" spans="1:3" s="27" customFormat="1" ht="24.75" customHeight="1">
      <c r="A32" s="25"/>
      <c r="B32" s="22" t="s">
        <v>39</v>
      </c>
      <c r="C32" s="23">
        <v>17.776358233</v>
      </c>
    </row>
    <row r="33" spans="1:66" s="27" customFormat="1" ht="24.75" customHeight="1">
      <c r="A33" s="25"/>
      <c r="B33" s="22" t="s">
        <v>40</v>
      </c>
      <c r="C33" s="23">
        <v>0</v>
      </c>
    </row>
    <row r="34" spans="1:66" s="27" customFormat="1" ht="24.75" customHeight="1">
      <c r="A34" s="25"/>
      <c r="B34" s="22" t="s">
        <v>41</v>
      </c>
      <c r="C34" s="23">
        <v>0</v>
      </c>
    </row>
    <row r="35" spans="1:66" s="27" customFormat="1" ht="24.75" customHeight="1">
      <c r="A35" s="25"/>
      <c r="B35" s="22" t="s">
        <v>42</v>
      </c>
      <c r="C35" s="23">
        <v>33.872699924833334</v>
      </c>
    </row>
    <row r="36" spans="1:66" s="12" customFormat="1" ht="24.75" customHeight="1">
      <c r="A36" s="7" t="s">
        <v>43</v>
      </c>
      <c r="B36" s="10" t="s">
        <v>44</v>
      </c>
      <c r="C36" s="11">
        <v>1183.4923995083407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</row>
    <row r="37" spans="1:66" ht="24.75" customHeight="1">
      <c r="A37" s="13" t="s">
        <v>45</v>
      </c>
      <c r="B37" s="14" t="s">
        <v>46</v>
      </c>
      <c r="C37" s="15">
        <v>313.61206074899997</v>
      </c>
      <c r="D37" s="340"/>
      <c r="E37" s="340"/>
      <c r="F37" s="340"/>
      <c r="G37" s="340"/>
      <c r="H37" s="340"/>
      <c r="I37" s="340"/>
      <c r="J37" s="340"/>
      <c r="K37" s="340"/>
      <c r="L37" s="340"/>
      <c r="M37" s="340"/>
    </row>
    <row r="38" spans="1:66" ht="24.75" customHeight="1">
      <c r="A38" s="13" t="s">
        <v>47</v>
      </c>
      <c r="B38" s="14" t="s">
        <v>48</v>
      </c>
      <c r="C38" s="15">
        <v>92.757118907999995</v>
      </c>
      <c r="D38" s="340"/>
      <c r="E38" s="340"/>
      <c r="F38" s="340"/>
      <c r="G38" s="340"/>
      <c r="H38" s="340"/>
      <c r="I38" s="340"/>
      <c r="J38" s="340"/>
      <c r="K38" s="340"/>
      <c r="L38" s="340"/>
      <c r="M38" s="340"/>
    </row>
    <row r="39" spans="1:66" s="27" customFormat="1" ht="24.75" customHeight="1">
      <c r="A39" s="25"/>
      <c r="B39" s="22" t="s">
        <v>49</v>
      </c>
      <c r="C39" s="23">
        <v>0</v>
      </c>
    </row>
    <row r="40" spans="1:66" s="27" customFormat="1" ht="24.75" customHeight="1">
      <c r="A40" s="25"/>
      <c r="B40" s="22" t="s">
        <v>50</v>
      </c>
      <c r="C40" s="23">
        <v>0.148244296</v>
      </c>
    </row>
    <row r="41" spans="1:66" ht="24.75" customHeight="1">
      <c r="A41" s="13" t="s">
        <v>51</v>
      </c>
      <c r="B41" s="14" t="s">
        <v>52</v>
      </c>
      <c r="C41" s="15">
        <v>0</v>
      </c>
    </row>
    <row r="42" spans="1:66" s="36" customFormat="1" ht="24.75" customHeight="1">
      <c r="A42" s="13" t="s">
        <v>53</v>
      </c>
      <c r="B42" s="14" t="s">
        <v>54</v>
      </c>
      <c r="C42" s="15">
        <v>149.90998612334073</v>
      </c>
    </row>
    <row r="43" spans="1:66" s="38" customFormat="1" ht="24.75" customHeight="1">
      <c r="A43" s="25"/>
      <c r="B43" s="37" t="s">
        <v>55</v>
      </c>
      <c r="C43" s="15">
        <v>128.11890225256721</v>
      </c>
    </row>
    <row r="44" spans="1:66" s="38" customFormat="1" ht="24.75" customHeight="1">
      <c r="A44" s="25"/>
      <c r="B44" s="37" t="s">
        <v>56</v>
      </c>
      <c r="C44" s="15">
        <v>21.791083870773562</v>
      </c>
    </row>
    <row r="45" spans="1:66" ht="24.75" customHeight="1">
      <c r="A45" s="13" t="s">
        <v>57</v>
      </c>
      <c r="B45" s="14" t="s">
        <v>58</v>
      </c>
      <c r="C45" s="15">
        <v>22.030538174999997</v>
      </c>
    </row>
    <row r="46" spans="1:66" s="27" customFormat="1" ht="24.75" hidden="1" customHeight="1">
      <c r="A46" s="25"/>
      <c r="B46" s="22"/>
      <c r="C46" s="15">
        <v>0</v>
      </c>
    </row>
    <row r="47" spans="1:66" s="27" customFormat="1" ht="24.75" customHeight="1">
      <c r="A47" s="25"/>
      <c r="B47" s="22" t="s">
        <v>692</v>
      </c>
      <c r="C47" s="15">
        <v>0</v>
      </c>
    </row>
    <row r="48" spans="1:66" ht="24.75" customHeight="1">
      <c r="A48" s="13" t="s">
        <v>59</v>
      </c>
      <c r="B48" s="14" t="s">
        <v>34</v>
      </c>
      <c r="C48" s="15">
        <v>521.13349029599999</v>
      </c>
    </row>
    <row r="49" spans="1:66" s="27" customFormat="1" ht="24.75" customHeight="1">
      <c r="A49" s="25"/>
      <c r="B49" s="22" t="s">
        <v>60</v>
      </c>
      <c r="C49" s="15">
        <v>365.64566373799994</v>
      </c>
    </row>
    <row r="50" spans="1:66" s="27" customFormat="1" ht="24.75" customHeight="1">
      <c r="A50" s="25"/>
      <c r="B50" s="22" t="s">
        <v>693</v>
      </c>
      <c r="C50" s="15">
        <v>1.829750674</v>
      </c>
    </row>
    <row r="51" spans="1:66" s="27" customFormat="1" ht="24.75" customHeight="1">
      <c r="A51" s="25"/>
      <c r="B51" s="22" t="s">
        <v>61</v>
      </c>
      <c r="C51" s="15">
        <v>155.48782655799999</v>
      </c>
    </row>
    <row r="52" spans="1:66" s="27" customFormat="1" ht="24.75" customHeight="1">
      <c r="A52" s="25"/>
      <c r="B52" s="22" t="s">
        <v>694</v>
      </c>
      <c r="C52" s="15">
        <v>10.192849362</v>
      </c>
    </row>
    <row r="53" spans="1:66" s="27" customFormat="1" ht="24.75" customHeight="1">
      <c r="A53" s="25"/>
      <c r="B53" s="22" t="s">
        <v>695</v>
      </c>
      <c r="C53" s="15">
        <v>10.861437227</v>
      </c>
    </row>
    <row r="54" spans="1:66" s="39" customFormat="1" ht="24.75" customHeight="1">
      <c r="A54" s="13" t="s">
        <v>62</v>
      </c>
      <c r="B54" s="14" t="s">
        <v>63</v>
      </c>
      <c r="C54" s="15">
        <v>7.0031845549999998</v>
      </c>
    </row>
    <row r="55" spans="1:66" ht="24.75" customHeight="1">
      <c r="A55" s="13" t="s">
        <v>64</v>
      </c>
      <c r="B55" s="14" t="s">
        <v>65</v>
      </c>
      <c r="C55" s="15">
        <v>77.046020701999993</v>
      </c>
    </row>
    <row r="56" spans="1:66" ht="24.75" customHeight="1">
      <c r="A56" s="13"/>
      <c r="B56" s="14" t="s">
        <v>66</v>
      </c>
      <c r="C56" s="15">
        <v>77.046020701999993</v>
      </c>
    </row>
    <row r="57" spans="1:66" s="27" customFormat="1" ht="24.75" customHeight="1">
      <c r="A57" s="25"/>
      <c r="B57" s="22" t="s">
        <v>67</v>
      </c>
      <c r="C57" s="23">
        <v>45.197239849999995</v>
      </c>
    </row>
    <row r="58" spans="1:66" s="27" customFormat="1" ht="24.75" customHeight="1">
      <c r="A58" s="25"/>
      <c r="B58" s="22" t="s">
        <v>68</v>
      </c>
      <c r="C58" s="23">
        <v>21.914337517</v>
      </c>
    </row>
    <row r="59" spans="1:66" s="27" customFormat="1" ht="24.75" customHeight="1">
      <c r="A59" s="25"/>
      <c r="B59" s="22" t="s">
        <v>69</v>
      </c>
      <c r="C59" s="23">
        <v>0</v>
      </c>
    </row>
    <row r="60" spans="1:66" ht="24.75" customHeight="1">
      <c r="A60" s="13"/>
      <c r="B60" s="14" t="s">
        <v>70</v>
      </c>
      <c r="C60" s="15">
        <v>0</v>
      </c>
      <c r="F60" s="9"/>
    </row>
    <row r="61" spans="1:66" s="27" customFormat="1" ht="24.75" customHeight="1">
      <c r="A61" s="25"/>
      <c r="B61" s="22" t="s">
        <v>71</v>
      </c>
      <c r="C61" s="15">
        <v>0</v>
      </c>
    </row>
    <row r="62" spans="1:66" s="27" customFormat="1" ht="24.75" customHeight="1">
      <c r="A62" s="25"/>
      <c r="B62" s="22" t="s">
        <v>72</v>
      </c>
      <c r="C62" s="15">
        <v>0</v>
      </c>
    </row>
    <row r="63" spans="1:66" s="12" customFormat="1" ht="24.75" customHeight="1">
      <c r="A63" s="17" t="s">
        <v>73</v>
      </c>
      <c r="B63" s="40" t="s">
        <v>74</v>
      </c>
      <c r="C63" s="11">
        <v>-392.84789059059699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</row>
    <row r="64" spans="1:66" s="12" customFormat="1" ht="24.75" customHeight="1">
      <c r="A64" s="17" t="s">
        <v>75</v>
      </c>
      <c r="B64" s="40" t="s">
        <v>76</v>
      </c>
      <c r="C64" s="11">
        <v>-392.84789059059699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</row>
    <row r="65" spans="1:66" s="36" customFormat="1" ht="35.25" customHeight="1">
      <c r="A65" s="7"/>
      <c r="B65" s="8" t="s">
        <v>77</v>
      </c>
      <c r="C65" s="41"/>
    </row>
    <row r="66" spans="1:66" ht="24.75" customHeight="1">
      <c r="A66" s="7" t="s">
        <v>78</v>
      </c>
      <c r="B66" s="10" t="s">
        <v>79</v>
      </c>
      <c r="C66" s="11">
        <v>173.620852969</v>
      </c>
    </row>
    <row r="67" spans="1:66" ht="24.75" customHeight="1">
      <c r="A67" s="13" t="s">
        <v>80</v>
      </c>
      <c r="B67" s="14" t="s">
        <v>81</v>
      </c>
      <c r="C67" s="15">
        <v>173.620852969</v>
      </c>
    </row>
    <row r="68" spans="1:66" s="27" customFormat="1" ht="24.75" customHeight="1">
      <c r="A68" s="25"/>
      <c r="B68" s="22" t="s">
        <v>82</v>
      </c>
      <c r="C68" s="23">
        <v>3.9208529689999949</v>
      </c>
    </row>
    <row r="69" spans="1:66" s="27" customFormat="1" ht="24.75" hidden="1" customHeight="1">
      <c r="A69" s="25"/>
      <c r="B69" s="43" t="s">
        <v>83</v>
      </c>
      <c r="C69" s="23">
        <v>0</v>
      </c>
    </row>
    <row r="70" spans="1:66" s="27" customFormat="1" ht="24.75" customHeight="1">
      <c r="A70" s="25"/>
      <c r="B70" s="43" t="s">
        <v>84</v>
      </c>
      <c r="C70" s="23">
        <v>169.7</v>
      </c>
    </row>
    <row r="71" spans="1:66" ht="24.75" customHeight="1">
      <c r="A71" s="13" t="s">
        <v>85</v>
      </c>
      <c r="B71" s="14" t="s">
        <v>86</v>
      </c>
      <c r="C71" s="15">
        <v>0</v>
      </c>
    </row>
    <row r="72" spans="1:66" ht="24.75" customHeight="1">
      <c r="A72" s="13" t="s">
        <v>87</v>
      </c>
      <c r="B72" s="14" t="s">
        <v>88</v>
      </c>
      <c r="C72" s="15">
        <v>0</v>
      </c>
    </row>
    <row r="73" spans="1:66" ht="24.75" customHeight="1">
      <c r="A73" s="13" t="s">
        <v>89</v>
      </c>
      <c r="B73" s="14" t="s">
        <v>90</v>
      </c>
      <c r="C73" s="15">
        <v>0</v>
      </c>
    </row>
    <row r="74" spans="1:66" ht="24.75" customHeight="1">
      <c r="A74" s="13"/>
      <c r="B74" s="14" t="s">
        <v>696</v>
      </c>
      <c r="C74" s="15">
        <v>0</v>
      </c>
    </row>
    <row r="75" spans="1:66" s="46" customFormat="1" ht="24.75" customHeight="1">
      <c r="A75" s="17" t="s">
        <v>91</v>
      </c>
      <c r="B75" s="44" t="s">
        <v>92</v>
      </c>
      <c r="C75" s="45">
        <v>-566.46874355959699</v>
      </c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pans="1:66" s="36" customFormat="1" ht="36.75" customHeight="1">
      <c r="A76" s="47"/>
      <c r="B76" s="48" t="s">
        <v>93</v>
      </c>
      <c r="C76" s="49"/>
    </row>
    <row r="77" spans="1:66" ht="24.75" customHeight="1">
      <c r="A77" s="7" t="s">
        <v>94</v>
      </c>
      <c r="B77" s="10" t="s">
        <v>95</v>
      </c>
      <c r="C77" s="11">
        <v>622.3892814400001</v>
      </c>
    </row>
    <row r="78" spans="1:66" ht="24.75" customHeight="1">
      <c r="A78" s="13" t="s">
        <v>96</v>
      </c>
      <c r="B78" s="14" t="s">
        <v>97</v>
      </c>
      <c r="C78" s="15">
        <v>622.3892814400001</v>
      </c>
    </row>
    <row r="79" spans="1:66" s="27" customFormat="1" ht="24.75" customHeight="1">
      <c r="A79" s="25"/>
      <c r="B79" s="22" t="s">
        <v>98</v>
      </c>
      <c r="C79" s="23">
        <v>364.41594487400005</v>
      </c>
    </row>
    <row r="80" spans="1:66" s="27" customFormat="1" ht="24.75" customHeight="1">
      <c r="A80" s="25"/>
      <c r="B80" s="22" t="s">
        <v>99</v>
      </c>
      <c r="C80" s="23">
        <v>0</v>
      </c>
    </row>
    <row r="81" spans="1:3" s="27" customFormat="1" ht="24.75" customHeight="1">
      <c r="A81" s="25"/>
      <c r="B81" s="22" t="s">
        <v>100</v>
      </c>
      <c r="C81" s="23">
        <v>251.48702435299998</v>
      </c>
    </row>
    <row r="82" spans="1:3" s="27" customFormat="1" ht="24.75" customHeight="1">
      <c r="A82" s="25"/>
      <c r="B82" s="50" t="s">
        <v>101</v>
      </c>
      <c r="C82" s="23">
        <v>252.42099999999999</v>
      </c>
    </row>
    <row r="83" spans="1:3" s="27" customFormat="1" ht="24.75" customHeight="1">
      <c r="A83" s="25"/>
      <c r="B83" s="51" t="s">
        <v>102</v>
      </c>
      <c r="C83" s="23">
        <v>0</v>
      </c>
    </row>
    <row r="84" spans="1:3" s="27" customFormat="1" ht="24.75" customHeight="1">
      <c r="A84" s="25"/>
      <c r="B84" s="22" t="s">
        <v>103</v>
      </c>
      <c r="C84" s="23">
        <v>0</v>
      </c>
    </row>
    <row r="85" spans="1:3" s="27" customFormat="1" ht="24.75" customHeight="1">
      <c r="A85" s="25"/>
      <c r="B85" s="52" t="s">
        <v>104</v>
      </c>
      <c r="C85" s="23">
        <v>0</v>
      </c>
    </row>
    <row r="86" spans="1:3" s="27" customFormat="1" ht="24.75" customHeight="1">
      <c r="A86" s="25"/>
      <c r="B86" s="52" t="s">
        <v>105</v>
      </c>
      <c r="C86" s="23">
        <v>0</v>
      </c>
    </row>
    <row r="87" spans="1:3" s="27" customFormat="1" ht="24.75" customHeight="1">
      <c r="A87" s="25"/>
      <c r="B87" s="52" t="s">
        <v>106</v>
      </c>
      <c r="C87" s="23">
        <v>6.4863122129999997</v>
      </c>
    </row>
    <row r="88" spans="1:3" ht="24.75" customHeight="1">
      <c r="A88" s="13" t="s">
        <v>107</v>
      </c>
      <c r="B88" s="14" t="s">
        <v>108</v>
      </c>
      <c r="C88" s="15">
        <v>0</v>
      </c>
    </row>
    <row r="89" spans="1:3" ht="24.75" customHeight="1">
      <c r="A89" s="13" t="s">
        <v>109</v>
      </c>
      <c r="B89" s="14" t="s">
        <v>110</v>
      </c>
      <c r="C89" s="15">
        <v>0</v>
      </c>
    </row>
    <row r="90" spans="1:3" ht="24.75" customHeight="1">
      <c r="A90" s="7" t="s">
        <v>111</v>
      </c>
      <c r="B90" s="10" t="s">
        <v>112</v>
      </c>
      <c r="C90" s="11">
        <v>1191.6142517244962</v>
      </c>
    </row>
    <row r="91" spans="1:3" ht="24.75" customHeight="1">
      <c r="A91" s="13" t="s">
        <v>113</v>
      </c>
      <c r="B91" s="14" t="s">
        <v>97</v>
      </c>
      <c r="C91" s="15">
        <v>359.44693663317491</v>
      </c>
    </row>
    <row r="92" spans="1:3" s="366" customFormat="1" ht="24.75" customHeight="1">
      <c r="A92" s="362"/>
      <c r="B92" s="363" t="s">
        <v>114</v>
      </c>
      <c r="C92" s="364">
        <v>170.94218867017497</v>
      </c>
    </row>
    <row r="93" spans="1:3" s="30" customFormat="1" ht="24.75" customHeight="1">
      <c r="A93" s="53"/>
      <c r="B93" s="22" t="s">
        <v>115</v>
      </c>
      <c r="C93" s="23">
        <v>0</v>
      </c>
    </row>
    <row r="94" spans="1:3" s="30" customFormat="1" ht="24.75" customHeight="1">
      <c r="A94" s="53"/>
      <c r="B94" s="22" t="s">
        <v>116</v>
      </c>
      <c r="C94" s="23">
        <v>31.050999999999998</v>
      </c>
    </row>
    <row r="95" spans="1:3" s="30" customFormat="1" ht="24.75" customHeight="1">
      <c r="A95" s="53"/>
      <c r="B95" s="22" t="s">
        <v>117</v>
      </c>
      <c r="C95" s="56">
        <v>187.72999380017501</v>
      </c>
    </row>
    <row r="96" spans="1:3" s="30" customFormat="1" ht="24.75" customHeight="1">
      <c r="A96" s="53"/>
      <c r="B96" s="22" t="s">
        <v>118</v>
      </c>
      <c r="C96" s="23">
        <v>-40.32968013</v>
      </c>
    </row>
    <row r="97" spans="1:3" s="30" customFormat="1" ht="24.75" customHeight="1">
      <c r="A97" s="53"/>
      <c r="B97" s="22" t="s">
        <v>119</v>
      </c>
      <c r="C97" s="23">
        <v>-7.509125</v>
      </c>
    </row>
    <row r="98" spans="1:3" s="30" customFormat="1" ht="24.75" customHeight="1">
      <c r="A98" s="53"/>
      <c r="B98" s="54" t="s">
        <v>120</v>
      </c>
      <c r="C98" s="55">
        <v>127.292</v>
      </c>
    </row>
    <row r="99" spans="1:3" s="30" customFormat="1" ht="24.75" customHeight="1">
      <c r="A99" s="53"/>
      <c r="B99" s="22" t="s">
        <v>121</v>
      </c>
      <c r="C99" s="23">
        <v>-5.3330000000000002</v>
      </c>
    </row>
    <row r="100" spans="1:3" s="30" customFormat="1" ht="24.75" customHeight="1">
      <c r="A100" s="53"/>
      <c r="B100" s="22" t="s">
        <v>122</v>
      </c>
      <c r="C100" s="23">
        <v>0</v>
      </c>
    </row>
    <row r="101" spans="1:3" s="30" customFormat="1" ht="24.75" customHeight="1">
      <c r="A101" s="53"/>
      <c r="B101" s="22" t="s">
        <v>123</v>
      </c>
      <c r="C101" s="23">
        <v>0</v>
      </c>
    </row>
    <row r="102" spans="1:3" s="30" customFormat="1" ht="24.75" customHeight="1">
      <c r="A102" s="53"/>
      <c r="B102" s="22" t="s">
        <v>124</v>
      </c>
      <c r="C102" s="23">
        <v>132.625</v>
      </c>
    </row>
    <row r="103" spans="1:3" s="30" customFormat="1" ht="24.75" customHeight="1">
      <c r="A103" s="53"/>
      <c r="B103" s="22" t="s">
        <v>125</v>
      </c>
      <c r="C103" s="23">
        <v>0</v>
      </c>
    </row>
    <row r="104" spans="1:3" s="58" customFormat="1" ht="24.75" customHeight="1">
      <c r="A104" s="57"/>
      <c r="B104" s="22" t="s">
        <v>126</v>
      </c>
      <c r="C104" s="23">
        <v>61.212747962999998</v>
      </c>
    </row>
    <row r="105" spans="1:3" s="30" customFormat="1" ht="24.75" customHeight="1">
      <c r="A105" s="53"/>
      <c r="B105" s="50" t="s">
        <v>127</v>
      </c>
      <c r="C105" s="23">
        <v>22.679998278999996</v>
      </c>
    </row>
    <row r="106" spans="1:3" s="59" customFormat="1" ht="24.75" customHeight="1">
      <c r="A106" s="17"/>
      <c r="B106" s="50" t="s">
        <v>128</v>
      </c>
      <c r="C106" s="19">
        <v>46.399246222000002</v>
      </c>
    </row>
    <row r="107" spans="1:3" s="20" customFormat="1" ht="24.75" customHeight="1">
      <c r="A107" s="17"/>
      <c r="B107" s="50" t="s">
        <v>129</v>
      </c>
      <c r="C107" s="19">
        <v>9.1396513899999992</v>
      </c>
    </row>
    <row r="108" spans="1:3" ht="24.75" customHeight="1">
      <c r="A108" s="13" t="s">
        <v>130</v>
      </c>
      <c r="B108" s="14" t="s">
        <v>108</v>
      </c>
      <c r="C108" s="15">
        <v>832.16731509132114</v>
      </c>
    </row>
    <row r="109" spans="1:3" s="30" customFormat="1" ht="24.75" customHeight="1">
      <c r="A109" s="53"/>
      <c r="B109" s="60" t="s">
        <v>131</v>
      </c>
      <c r="C109" s="23">
        <v>0</v>
      </c>
    </row>
    <row r="110" spans="1:3" s="30" customFormat="1" ht="24.75" customHeight="1">
      <c r="A110" s="53"/>
      <c r="B110" s="60" t="s">
        <v>132</v>
      </c>
      <c r="C110" s="23">
        <v>172.05656757982501</v>
      </c>
    </row>
    <row r="111" spans="1:3" s="62" customFormat="1" ht="24.75" customHeight="1">
      <c r="A111" s="61"/>
      <c r="B111" s="60" t="s">
        <v>133</v>
      </c>
      <c r="C111" s="23">
        <v>54.005000000000003</v>
      </c>
    </row>
    <row r="112" spans="1:3" s="62" customFormat="1" ht="24.75" customHeight="1">
      <c r="A112" s="61"/>
      <c r="B112" s="60" t="s">
        <v>134</v>
      </c>
      <c r="C112" s="23">
        <v>23.069140130000005</v>
      </c>
    </row>
    <row r="113" spans="1:3" s="27" customFormat="1" ht="24.75" customHeight="1">
      <c r="A113" s="25"/>
      <c r="B113" s="14" t="s">
        <v>135</v>
      </c>
      <c r="C113" s="23">
        <v>99.973302449824999</v>
      </c>
    </row>
    <row r="114" spans="1:3" s="38" customFormat="1" ht="24.75" customHeight="1">
      <c r="A114" s="25"/>
      <c r="B114" s="14" t="s">
        <v>136</v>
      </c>
      <c r="C114" s="23">
        <v>0</v>
      </c>
    </row>
    <row r="115" spans="1:3" s="38" customFormat="1" ht="24.75" customHeight="1">
      <c r="A115" s="25"/>
      <c r="B115" s="14" t="s">
        <v>137</v>
      </c>
      <c r="C115" s="23">
        <v>-4.990875</v>
      </c>
    </row>
    <row r="116" spans="1:3" s="30" customFormat="1" ht="24.75" customHeight="1">
      <c r="A116" s="53"/>
      <c r="B116" s="14" t="s">
        <v>138</v>
      </c>
      <c r="C116" s="23">
        <v>660.11074751149613</v>
      </c>
    </row>
    <row r="117" spans="1:3" s="27" customFormat="1" ht="24.75" customHeight="1">
      <c r="A117" s="25"/>
      <c r="B117" s="22" t="s">
        <v>139</v>
      </c>
      <c r="C117" s="23">
        <v>59.936</v>
      </c>
    </row>
    <row r="118" spans="1:3" s="27" customFormat="1" ht="24.75" customHeight="1">
      <c r="A118" s="25"/>
      <c r="B118" s="22" t="s">
        <v>140</v>
      </c>
      <c r="C118" s="35">
        <v>142.5</v>
      </c>
    </row>
    <row r="119" spans="1:3" s="27" customFormat="1" ht="24.75" customHeight="1">
      <c r="A119" s="25"/>
      <c r="B119" s="22" t="s">
        <v>141</v>
      </c>
      <c r="C119" s="23">
        <v>252.42099999999999</v>
      </c>
    </row>
    <row r="120" spans="1:3" s="27" customFormat="1" ht="24.75" customHeight="1">
      <c r="A120" s="25"/>
      <c r="B120" s="22" t="s">
        <v>142</v>
      </c>
      <c r="C120" s="23">
        <v>308.7</v>
      </c>
    </row>
    <row r="121" spans="1:3" s="27" customFormat="1" ht="24.75" customHeight="1">
      <c r="A121" s="25"/>
      <c r="B121" s="22" t="s">
        <v>143</v>
      </c>
      <c r="C121" s="23">
        <v>-103.4462524885038</v>
      </c>
    </row>
    <row r="122" spans="1:3" s="38" customFormat="1" ht="24.75" customHeight="1">
      <c r="A122" s="25"/>
      <c r="B122" s="22" t="s">
        <v>144</v>
      </c>
      <c r="C122" s="23">
        <v>0</v>
      </c>
    </row>
    <row r="123" spans="1:3" s="38" customFormat="1" ht="24.75" customHeight="1">
      <c r="A123" s="25"/>
      <c r="B123" s="22" t="s">
        <v>145</v>
      </c>
      <c r="C123" s="23">
        <v>0</v>
      </c>
    </row>
    <row r="124" spans="1:3" s="30" customFormat="1" ht="24.75" customHeight="1">
      <c r="A124" s="53"/>
      <c r="B124" s="60" t="s">
        <v>146</v>
      </c>
      <c r="C124" s="23">
        <v>0</v>
      </c>
    </row>
    <row r="125" spans="1:3" ht="19.5" customHeight="1">
      <c r="A125" s="371" t="s">
        <v>147</v>
      </c>
      <c r="B125" s="371"/>
      <c r="C125" s="11">
        <v>2.7562267248990793</v>
      </c>
    </row>
    <row r="126" spans="1:3" ht="12" customHeight="1">
      <c r="A126" s="63" t="s">
        <v>148</v>
      </c>
      <c r="B126" s="64"/>
    </row>
    <row r="127" spans="1:3">
      <c r="A127" s="63" t="s">
        <v>149</v>
      </c>
      <c r="B127" s="64"/>
      <c r="C127" s="9"/>
    </row>
    <row r="128" spans="1:3" ht="10.5" customHeight="1">
      <c r="A128" s="65" t="s">
        <v>150</v>
      </c>
      <c r="B128" s="64"/>
    </row>
    <row r="136" spans="82:82">
      <c r="CD136" t="s">
        <v>697</v>
      </c>
    </row>
  </sheetData>
  <autoFilter ref="A1:C138" xr:uid="{00000000-0009-0000-0000-000005000000}"/>
  <mergeCells count="2">
    <mergeCell ref="B3:C3"/>
    <mergeCell ref="A5:B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M133"/>
  <sheetViews>
    <sheetView view="pageBreakPreview" zoomScale="90" zoomScaleNormal="90" zoomScaleSheetLayoutView="90" zoomScalePageLayoutView="117" workbookViewId="0">
      <selection activeCell="K80" sqref="K80"/>
    </sheetView>
  </sheetViews>
  <sheetFormatPr baseColWidth="10" defaultColWidth="9.1640625" defaultRowHeight="13"/>
  <cols>
    <col min="1" max="1" width="48.1640625" customWidth="1"/>
    <col min="2" max="7" width="11.1640625" hidden="1" customWidth="1"/>
    <col min="8" max="9" width="11.1640625" customWidth="1"/>
    <col min="10" max="10" width="35.1640625" customWidth="1"/>
    <col min="11" max="11" width="42" bestFit="1" customWidth="1"/>
    <col min="12" max="12" width="23.5" bestFit="1" customWidth="1"/>
    <col min="13" max="44" width="11.33203125" customWidth="1"/>
  </cols>
  <sheetData>
    <row r="1" spans="1:91" ht="16">
      <c r="A1" s="514" t="s">
        <v>3</v>
      </c>
      <c r="B1" s="515"/>
      <c r="C1" s="515"/>
      <c r="D1" s="515"/>
      <c r="E1" s="515"/>
      <c r="F1" s="515"/>
      <c r="G1" s="515"/>
      <c r="H1" s="515"/>
      <c r="I1" s="516"/>
      <c r="CM1" t="e">
        <f>CL1/CK1-1</f>
        <v>#DIV/0!</v>
      </c>
    </row>
    <row r="2" spans="1:91" ht="34">
      <c r="A2" s="466"/>
      <c r="B2" s="467">
        <v>44927</v>
      </c>
      <c r="C2" s="467">
        <v>44958</v>
      </c>
      <c r="D2" s="467">
        <v>44986</v>
      </c>
      <c r="E2" s="467">
        <v>45017</v>
      </c>
      <c r="F2" s="467">
        <v>45047</v>
      </c>
      <c r="G2" s="467">
        <v>45078</v>
      </c>
      <c r="H2" s="467" t="s">
        <v>717</v>
      </c>
      <c r="I2" s="467" t="s">
        <v>718</v>
      </c>
      <c r="K2" s="395"/>
    </row>
    <row r="3" spans="1:91" ht="18.75" customHeight="1">
      <c r="A3" s="468" t="s">
        <v>5</v>
      </c>
      <c r="B3" s="469"/>
      <c r="C3" s="469"/>
      <c r="D3" s="469"/>
      <c r="E3" s="469"/>
      <c r="F3" s="469"/>
      <c r="G3" s="469"/>
      <c r="H3" s="469"/>
      <c r="I3" s="469"/>
      <c r="J3" s="9"/>
      <c r="K3" s="9"/>
    </row>
    <row r="4" spans="1:91" s="12" customFormat="1" ht="17.25" customHeight="1">
      <c r="A4" s="470" t="s">
        <v>677</v>
      </c>
      <c r="B4" s="471">
        <v>223.44045595482672</v>
      </c>
      <c r="C4" s="471">
        <v>286.88561707400004</v>
      </c>
      <c r="D4" s="471">
        <v>280.26643333291662</v>
      </c>
      <c r="E4" s="471">
        <v>359.15620106588887</v>
      </c>
      <c r="F4" s="471">
        <v>324.47279674470548</v>
      </c>
      <c r="G4" s="471">
        <v>360.47501761199999</v>
      </c>
      <c r="H4" s="471">
        <v>790.59250636174329</v>
      </c>
      <c r="I4" s="471">
        <v>1834.6965217843381</v>
      </c>
      <c r="J4" s="330"/>
      <c r="K4" s="9"/>
      <c r="L4" s="9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91" ht="17.25" customHeight="1">
      <c r="A5" s="472" t="s">
        <v>9</v>
      </c>
      <c r="B5" s="473">
        <v>182.96601078466006</v>
      </c>
      <c r="C5" s="473">
        <v>274.48465315000004</v>
      </c>
      <c r="D5" s="473">
        <v>250.66757887324997</v>
      </c>
      <c r="E5" s="473">
        <v>307.75789275400001</v>
      </c>
      <c r="F5" s="473">
        <v>306.28008801299995</v>
      </c>
      <c r="G5" s="473">
        <v>346.16350238300004</v>
      </c>
      <c r="H5" s="471">
        <v>708.11824280791006</v>
      </c>
      <c r="I5" s="473">
        <v>1668.3197259579101</v>
      </c>
      <c r="J5" s="331"/>
      <c r="K5" s="9"/>
    </row>
    <row r="6" spans="1:91" s="20" customFormat="1" ht="17.25" customHeight="1">
      <c r="A6" s="474" t="s">
        <v>11</v>
      </c>
      <c r="B6" s="475">
        <v>65.06587783466</v>
      </c>
      <c r="C6" s="475">
        <v>124.441793488</v>
      </c>
      <c r="D6" s="475">
        <v>69.263668534000004</v>
      </c>
      <c r="E6" s="475">
        <v>111.89690334399999</v>
      </c>
      <c r="F6" s="475">
        <v>106.976300213</v>
      </c>
      <c r="G6" s="475">
        <v>181.12994326399999</v>
      </c>
      <c r="H6" s="471">
        <v>258.77133985666001</v>
      </c>
      <c r="I6" s="475">
        <v>658.77448667765998</v>
      </c>
      <c r="J6" s="332"/>
    </row>
    <row r="7" spans="1:91" s="24" customFormat="1" ht="17.25" customHeight="1">
      <c r="A7" s="476" t="s">
        <v>12</v>
      </c>
      <c r="B7" s="473">
        <v>17.185557379999999</v>
      </c>
      <c r="C7" s="473">
        <v>94.477907857999995</v>
      </c>
      <c r="D7" s="473">
        <v>19.553190428000001</v>
      </c>
      <c r="E7" s="473">
        <v>69.904487537999998</v>
      </c>
      <c r="F7" s="473">
        <v>54.199065052000002</v>
      </c>
      <c r="G7" s="473">
        <v>134.065022535</v>
      </c>
      <c r="H7" s="471">
        <v>131.21665566599998</v>
      </c>
      <c r="I7" s="477">
        <v>389.38523079099997</v>
      </c>
      <c r="J7" s="333"/>
      <c r="K7" s="324"/>
    </row>
    <row r="8" spans="1:91" s="24" customFormat="1" ht="17.25" customHeight="1">
      <c r="A8" s="476" t="s">
        <v>13</v>
      </c>
      <c r="B8" s="473">
        <v>47.55525198966</v>
      </c>
      <c r="C8" s="473">
        <v>29.665399289</v>
      </c>
      <c r="D8" s="473">
        <v>48.825803333000003</v>
      </c>
      <c r="E8" s="473">
        <v>41.188236160999999</v>
      </c>
      <c r="F8" s="473">
        <v>51.386508980000002</v>
      </c>
      <c r="G8" s="473">
        <v>46.779468571000002</v>
      </c>
      <c r="H8" s="471">
        <v>126.04645461166001</v>
      </c>
      <c r="I8" s="477">
        <v>265.40066832366</v>
      </c>
      <c r="J8" s="324"/>
    </row>
    <row r="9" spans="1:91" ht="17.25" customHeight="1">
      <c r="A9" s="476" t="s">
        <v>14</v>
      </c>
      <c r="B9" s="473">
        <v>3.8269943039999998</v>
      </c>
      <c r="C9" s="473">
        <v>3.6225501090000001</v>
      </c>
      <c r="D9" s="473">
        <v>3.5440509790000001</v>
      </c>
      <c r="E9" s="473">
        <v>3.5642796400000001</v>
      </c>
      <c r="F9" s="473">
        <v>3.5642796400000001</v>
      </c>
      <c r="G9" s="473">
        <v>3.6125401319999999</v>
      </c>
      <c r="H9" s="471">
        <v>10.993595392</v>
      </c>
      <c r="I9" s="477">
        <v>21.734694804</v>
      </c>
      <c r="J9" s="334"/>
    </row>
    <row r="10" spans="1:91" s="20" customFormat="1" ht="17.25" customHeight="1">
      <c r="A10" s="474" t="s">
        <v>16</v>
      </c>
      <c r="B10" s="475">
        <v>3.2811117009999999</v>
      </c>
      <c r="C10" s="475">
        <v>3.4943752680000002</v>
      </c>
      <c r="D10" s="475">
        <v>4.0221909580000004</v>
      </c>
      <c r="E10" s="475">
        <v>3.0214286709999998</v>
      </c>
      <c r="F10" s="475">
        <v>3.8012995919999999</v>
      </c>
      <c r="G10" s="475">
        <v>3.6039792629999998</v>
      </c>
      <c r="H10" s="471">
        <v>10.797677927000001</v>
      </c>
      <c r="I10" s="475">
        <v>21.224385453</v>
      </c>
      <c r="J10" s="335"/>
    </row>
    <row r="11" spans="1:91" s="20" customFormat="1" ht="17.25" customHeight="1">
      <c r="A11" s="478" t="s">
        <v>678</v>
      </c>
      <c r="B11" s="477">
        <v>0.61925804299999998</v>
      </c>
      <c r="C11" s="477">
        <v>0.63378831300000005</v>
      </c>
      <c r="D11" s="477">
        <v>0.57670411799999999</v>
      </c>
      <c r="E11" s="477">
        <v>0.51938123899999999</v>
      </c>
      <c r="F11" s="477">
        <v>0.49714614000000001</v>
      </c>
      <c r="G11" s="477">
        <v>0.59647397400000002</v>
      </c>
      <c r="H11" s="471">
        <v>1.8297504739999999</v>
      </c>
      <c r="I11" s="475">
        <v>3.4427518269999995</v>
      </c>
      <c r="J11" s="335"/>
    </row>
    <row r="12" spans="1:91" s="20" customFormat="1" ht="17.25" customHeight="1">
      <c r="A12" s="474" t="s">
        <v>18</v>
      </c>
      <c r="B12" s="475">
        <v>3.0266668280000002</v>
      </c>
      <c r="C12" s="475">
        <v>3.458916093</v>
      </c>
      <c r="D12" s="475">
        <v>2.9659649529999998</v>
      </c>
      <c r="E12" s="475">
        <v>23.485056312000001</v>
      </c>
      <c r="F12" s="475">
        <v>5.9511800600000004</v>
      </c>
      <c r="G12" s="475">
        <v>3.054811731</v>
      </c>
      <c r="H12" s="471">
        <v>9.451547874000001</v>
      </c>
      <c r="I12" s="475">
        <v>41.942595977000003</v>
      </c>
      <c r="J12" s="337"/>
      <c r="K12" s="322"/>
    </row>
    <row r="13" spans="1:91" s="20" customFormat="1" ht="17.25" customHeight="1">
      <c r="A13" s="474" t="s">
        <v>20</v>
      </c>
      <c r="B13" s="475">
        <v>86.402693055</v>
      </c>
      <c r="C13" s="475">
        <v>97.610768462999999</v>
      </c>
      <c r="D13" s="475">
        <v>131.21266093624999</v>
      </c>
      <c r="E13" s="475">
        <v>131.18996820300001</v>
      </c>
      <c r="F13" s="475">
        <v>148.75922534200001</v>
      </c>
      <c r="G13" s="475">
        <v>122.979669448</v>
      </c>
      <c r="H13" s="471">
        <v>315.22612245425</v>
      </c>
      <c r="I13" s="475">
        <v>718.15498544725006</v>
      </c>
      <c r="J13" s="337"/>
      <c r="K13" s="337"/>
      <c r="L13" s="337"/>
      <c r="M13" s="337"/>
    </row>
    <row r="14" spans="1:91" s="27" customFormat="1" ht="17.25" customHeight="1">
      <c r="A14" s="479" t="s">
        <v>21</v>
      </c>
      <c r="B14" s="477">
        <v>23.992821635999999</v>
      </c>
      <c r="C14" s="477">
        <v>17.729645333000001</v>
      </c>
      <c r="D14" s="477">
        <v>37.745089765000003</v>
      </c>
      <c r="E14" s="477">
        <v>28.212121060000001</v>
      </c>
      <c r="F14" s="477">
        <v>51.613597763999998</v>
      </c>
      <c r="G14" s="477">
        <v>34.919874528000001</v>
      </c>
      <c r="H14" s="471">
        <v>79.467556733999999</v>
      </c>
      <c r="I14" s="477">
        <v>194.21315008600001</v>
      </c>
      <c r="J14" s="338"/>
    </row>
    <row r="15" spans="1:91" s="30" customFormat="1" ht="17.25" hidden="1" customHeight="1">
      <c r="A15" s="437" t="s">
        <v>22</v>
      </c>
      <c r="B15" s="477"/>
      <c r="C15" s="477"/>
      <c r="D15" s="477"/>
      <c r="E15" s="477"/>
      <c r="F15" s="477"/>
      <c r="G15" s="477"/>
      <c r="H15" s="471">
        <v>0</v>
      </c>
      <c r="I15" s="477">
        <v>0</v>
      </c>
    </row>
    <row r="16" spans="1:91" s="30" customFormat="1" ht="17.25" customHeight="1">
      <c r="A16" s="479" t="s">
        <v>23</v>
      </c>
      <c r="B16" s="477">
        <v>27.5</v>
      </c>
      <c r="C16" s="477">
        <v>44.2</v>
      </c>
      <c r="D16" s="477">
        <v>60.697673094000002</v>
      </c>
      <c r="E16" s="477">
        <v>51.769257222</v>
      </c>
      <c r="F16" s="477">
        <v>55.178408392999998</v>
      </c>
      <c r="G16" s="473">
        <v>48.024953513</v>
      </c>
      <c r="H16" s="471">
        <v>132.397673094</v>
      </c>
      <c r="I16" s="477">
        <v>287.37029222199999</v>
      </c>
      <c r="J16" s="339"/>
    </row>
    <row r="17" spans="1:11" s="30" customFormat="1" ht="17.25" hidden="1" customHeight="1">
      <c r="A17" s="437" t="s">
        <v>24</v>
      </c>
      <c r="B17" s="477"/>
      <c r="C17" s="477"/>
      <c r="D17" s="477"/>
      <c r="E17" s="477"/>
      <c r="F17" s="477"/>
      <c r="G17" s="477"/>
      <c r="H17" s="471">
        <v>0</v>
      </c>
      <c r="I17" s="477">
        <v>0</v>
      </c>
      <c r="J17" s="339"/>
    </row>
    <row r="18" spans="1:11" s="30" customFormat="1" ht="17.25" customHeight="1">
      <c r="A18" s="437" t="s">
        <v>25</v>
      </c>
      <c r="B18" s="477">
        <v>2.5958753639999999</v>
      </c>
      <c r="C18" s="477">
        <v>6.3071800270000002</v>
      </c>
      <c r="D18" s="477">
        <v>2.9006971890000002</v>
      </c>
      <c r="E18" s="477">
        <v>3.5433048230000002</v>
      </c>
      <c r="F18" s="477">
        <v>4.4112298709999997</v>
      </c>
      <c r="G18" s="477">
        <v>4.1003918009999998</v>
      </c>
      <c r="H18" s="471">
        <v>11.803752580000001</v>
      </c>
      <c r="I18" s="477">
        <v>23.858679075000001</v>
      </c>
    </row>
    <row r="19" spans="1:11" s="30" customFormat="1" ht="17.25" customHeight="1">
      <c r="A19" s="437" t="s">
        <v>691</v>
      </c>
      <c r="B19" s="477">
        <v>5.1253731690000004</v>
      </c>
      <c r="C19" s="477">
        <v>5.7360640580000002</v>
      </c>
      <c r="D19" s="477">
        <v>5.0370970470999996</v>
      </c>
      <c r="E19" s="477">
        <v>5.3789517590000004</v>
      </c>
      <c r="F19" s="477">
        <v>5.3985384132999998</v>
      </c>
      <c r="G19" s="477">
        <v>5.3498159447500004</v>
      </c>
      <c r="H19" s="471">
        <v>15.898534274099999</v>
      </c>
      <c r="I19" s="477">
        <v>32.025840391149998</v>
      </c>
    </row>
    <row r="20" spans="1:11" s="20" customFormat="1" ht="30.75" customHeight="1">
      <c r="A20" s="480" t="s">
        <v>27</v>
      </c>
      <c r="B20" s="475">
        <v>22</v>
      </c>
      <c r="C20" s="475">
        <v>41.3</v>
      </c>
      <c r="D20" s="475">
        <v>39.482110218999999</v>
      </c>
      <c r="E20" s="475">
        <v>35.059507107000002</v>
      </c>
      <c r="F20" s="475">
        <v>37.695266279000002</v>
      </c>
      <c r="G20" s="475">
        <v>30.914877020999999</v>
      </c>
      <c r="H20" s="471">
        <v>102.782110219</v>
      </c>
      <c r="I20" s="475">
        <v>206.45176062600001</v>
      </c>
      <c r="J20" s="322"/>
    </row>
    <row r="21" spans="1:11" s="20" customFormat="1" ht="17.25" customHeight="1">
      <c r="A21" s="474" t="s">
        <v>679</v>
      </c>
      <c r="B21" s="473">
        <v>2.62</v>
      </c>
      <c r="C21" s="475">
        <v>3.6</v>
      </c>
      <c r="D21" s="475">
        <v>3.9728493619999998</v>
      </c>
      <c r="E21" s="475">
        <v>3.6280470650000001</v>
      </c>
      <c r="F21" s="475">
        <v>3.6619098879999998</v>
      </c>
      <c r="G21" s="475">
        <v>2.8829670549999999</v>
      </c>
      <c r="H21" s="471">
        <v>10.192849362</v>
      </c>
      <c r="I21" s="475">
        <v>20.365773369999999</v>
      </c>
      <c r="J21" s="322"/>
    </row>
    <row r="22" spans="1:11" s="27" customFormat="1" ht="17.25" hidden="1" customHeight="1">
      <c r="A22" s="479" t="s">
        <v>28</v>
      </c>
      <c r="B22" s="477"/>
      <c r="C22" s="477"/>
      <c r="D22" s="477"/>
      <c r="E22" s="477"/>
      <c r="F22" s="477"/>
      <c r="G22" s="477"/>
      <c r="H22" s="471">
        <v>0</v>
      </c>
      <c r="I22" s="477"/>
    </row>
    <row r="23" spans="1:11" ht="17.25" customHeight="1">
      <c r="A23" s="481" t="s">
        <v>30</v>
      </c>
      <c r="B23" s="473">
        <v>3.1896613660000002</v>
      </c>
      <c r="C23" s="473">
        <v>4.1787998379999998</v>
      </c>
      <c r="D23" s="473">
        <v>3.7209832729999999</v>
      </c>
      <c r="E23" s="473">
        <v>3.1050291169999999</v>
      </c>
      <c r="F23" s="473">
        <v>3.0968165270000001</v>
      </c>
      <c r="G23" s="473">
        <v>4.4802216560000003</v>
      </c>
      <c r="H23" s="471">
        <v>11.089444477000001</v>
      </c>
      <c r="I23" s="473">
        <v>21.771511777000004</v>
      </c>
    </row>
    <row r="24" spans="1:11" s="20" customFormat="1" ht="17.25" customHeight="1">
      <c r="A24" s="482" t="s">
        <v>32</v>
      </c>
      <c r="B24" s="475">
        <v>0</v>
      </c>
      <c r="C24" s="475">
        <v>0</v>
      </c>
      <c r="D24" s="475">
        <v>0</v>
      </c>
      <c r="E24" s="475">
        <v>0</v>
      </c>
      <c r="F24" s="475">
        <v>0</v>
      </c>
      <c r="G24" s="475">
        <v>0</v>
      </c>
      <c r="H24" s="471">
        <v>0</v>
      </c>
      <c r="I24" s="475">
        <v>0</v>
      </c>
    </row>
    <row r="25" spans="1:11" s="20" customFormat="1" ht="17.25" customHeight="1">
      <c r="A25" s="482" t="s">
        <v>34</v>
      </c>
      <c r="B25" s="475">
        <v>23.358333333333331</v>
      </c>
      <c r="C25" s="475">
        <v>0.35599999999999998</v>
      </c>
      <c r="D25" s="475">
        <v>7.8416666666666677</v>
      </c>
      <c r="E25" s="475">
        <v>31.753888888888888</v>
      </c>
      <c r="F25" s="475">
        <v>13.3111111108889</v>
      </c>
      <c r="G25" s="475">
        <v>3.065221465</v>
      </c>
      <c r="H25" s="471">
        <v>31.556000000000001</v>
      </c>
      <c r="I25" s="475">
        <v>79.686221464777788</v>
      </c>
    </row>
    <row r="26" spans="1:11" ht="17.25" customHeight="1">
      <c r="A26" s="472" t="s">
        <v>35</v>
      </c>
      <c r="B26" s="473">
        <v>4</v>
      </c>
      <c r="C26" s="473">
        <v>0.35599999999999998</v>
      </c>
      <c r="D26" s="473">
        <v>0</v>
      </c>
      <c r="E26" s="473">
        <v>8.9649999999999999</v>
      </c>
      <c r="F26" s="473">
        <v>0</v>
      </c>
      <c r="G26" s="473">
        <v>3.065221465</v>
      </c>
      <c r="H26" s="471">
        <v>4.3559999999999999</v>
      </c>
      <c r="I26" s="473">
        <v>16.386221464999998</v>
      </c>
    </row>
    <row r="27" spans="1:11" ht="17.25" customHeight="1">
      <c r="A27" s="472" t="s">
        <v>36</v>
      </c>
      <c r="B27" s="473">
        <v>19.358333333333331</v>
      </c>
      <c r="C27" s="473">
        <v>0</v>
      </c>
      <c r="D27" s="473">
        <v>7.8416666666666677</v>
      </c>
      <c r="E27" s="473">
        <v>22.788888888888888</v>
      </c>
      <c r="F27" s="473">
        <v>13.3111111108889</v>
      </c>
      <c r="G27" s="473">
        <v>0</v>
      </c>
      <c r="H27" s="471">
        <v>27.2</v>
      </c>
      <c r="I27" s="473">
        <v>63.299999999777789</v>
      </c>
      <c r="J27" s="9"/>
    </row>
    <row r="28" spans="1:11" s="20" customFormat="1" ht="17.25" customHeight="1">
      <c r="A28" s="482" t="s">
        <v>38</v>
      </c>
      <c r="B28" s="475">
        <v>17.116111836833333</v>
      </c>
      <c r="C28" s="475">
        <v>12.044963923999999</v>
      </c>
      <c r="D28" s="475">
        <v>21.757187793</v>
      </c>
      <c r="E28" s="475">
        <v>19.644419422999999</v>
      </c>
      <c r="F28" s="475">
        <v>4.8815976208166667</v>
      </c>
      <c r="G28" s="475">
        <v>11.246293764000001</v>
      </c>
      <c r="H28" s="471">
        <v>50.918263553833334</v>
      </c>
      <c r="I28" s="475">
        <v>86.690574361649993</v>
      </c>
      <c r="K28" s="322"/>
    </row>
    <row r="29" spans="1:11" s="27" customFormat="1" ht="17.25" customHeight="1">
      <c r="A29" s="476" t="s">
        <v>39</v>
      </c>
      <c r="B29" s="477">
        <v>0.13594999999999999</v>
      </c>
      <c r="C29" s="477">
        <v>0</v>
      </c>
      <c r="D29" s="477">
        <v>17.640408232999999</v>
      </c>
      <c r="E29" s="477">
        <v>13.139999242</v>
      </c>
      <c r="F29" s="477">
        <v>0</v>
      </c>
      <c r="G29" s="477">
        <v>0</v>
      </c>
      <c r="H29" s="471">
        <v>17.776358233</v>
      </c>
      <c r="I29" s="477">
        <v>30.916357474999998</v>
      </c>
    </row>
    <row r="30" spans="1:11" s="27" customFormat="1" ht="17.25" customHeight="1">
      <c r="A30" s="476" t="s">
        <v>40</v>
      </c>
      <c r="B30" s="477">
        <v>0</v>
      </c>
      <c r="C30" s="477">
        <v>0</v>
      </c>
      <c r="D30" s="477">
        <v>0</v>
      </c>
      <c r="E30" s="477">
        <v>0</v>
      </c>
      <c r="F30" s="477">
        <v>0</v>
      </c>
      <c r="G30" s="477">
        <v>0</v>
      </c>
      <c r="H30" s="471">
        <v>0</v>
      </c>
      <c r="I30" s="477">
        <v>0</v>
      </c>
      <c r="J30" s="338"/>
    </row>
    <row r="31" spans="1:11" s="27" customFormat="1" ht="17.25" customHeight="1">
      <c r="A31" s="476" t="s">
        <v>41</v>
      </c>
      <c r="B31" s="477">
        <v>0</v>
      </c>
      <c r="C31" s="477">
        <v>0</v>
      </c>
      <c r="D31" s="477">
        <v>0</v>
      </c>
      <c r="E31" s="477">
        <v>0</v>
      </c>
      <c r="F31" s="477">
        <v>0</v>
      </c>
      <c r="G31" s="477">
        <v>0</v>
      </c>
      <c r="H31" s="471">
        <v>0</v>
      </c>
      <c r="I31" s="477">
        <v>0</v>
      </c>
      <c r="J31" s="338"/>
    </row>
    <row r="32" spans="1:11" s="27" customFormat="1" ht="17.25" customHeight="1">
      <c r="A32" s="476" t="s">
        <v>42</v>
      </c>
      <c r="B32" s="477">
        <v>16.980161836833332</v>
      </c>
      <c r="C32" s="477">
        <v>12.044963923999999</v>
      </c>
      <c r="D32" s="477">
        <v>4.1167795600000003</v>
      </c>
      <c r="E32" s="477">
        <v>6.5044201810000004</v>
      </c>
      <c r="F32" s="477">
        <v>4.8815976208166667</v>
      </c>
      <c r="G32" s="477">
        <v>11.246293764000001</v>
      </c>
      <c r="H32" s="471">
        <v>33.141905320833331</v>
      </c>
      <c r="I32" s="477">
        <v>55.774216886649995</v>
      </c>
      <c r="J32" s="338"/>
    </row>
    <row r="33" spans="1:75" s="12" customFormat="1" ht="17.25" customHeight="1">
      <c r="A33" s="470" t="s">
        <v>44</v>
      </c>
      <c r="B33" s="471">
        <v>548.80093461676586</v>
      </c>
      <c r="C33" s="471">
        <v>340.24658454499996</v>
      </c>
      <c r="D33" s="471">
        <v>294.57015901657496</v>
      </c>
      <c r="E33" s="471">
        <v>398.04412532099997</v>
      </c>
      <c r="F33" s="471">
        <v>314.40173120600002</v>
      </c>
      <c r="G33" s="471">
        <v>242.30429279800003</v>
      </c>
      <c r="H33" s="471">
        <v>1183.6176781783408</v>
      </c>
      <c r="I33" s="471">
        <v>2138.3678275033408</v>
      </c>
      <c r="J33" s="330"/>
      <c r="K33" s="330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ht="17.25" customHeight="1">
      <c r="A34" s="472" t="s">
        <v>46</v>
      </c>
      <c r="B34" s="473">
        <v>105.141034062</v>
      </c>
      <c r="C34" s="473">
        <v>104.13239881299999</v>
      </c>
      <c r="D34" s="473">
        <v>104.338627874</v>
      </c>
      <c r="E34" s="473">
        <v>104.45406767999999</v>
      </c>
      <c r="F34" s="473">
        <v>105.576747123</v>
      </c>
      <c r="G34" s="473">
        <v>106.580679317</v>
      </c>
      <c r="H34" s="471">
        <v>313.61206074899997</v>
      </c>
      <c r="I34" s="473">
        <v>630.22355486899994</v>
      </c>
      <c r="J34" s="340"/>
      <c r="K34" s="33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</row>
    <row r="35" spans="1:75" ht="17.25" customHeight="1">
      <c r="A35" s="472" t="s">
        <v>48</v>
      </c>
      <c r="B35" s="473">
        <v>32.153025765000002</v>
      </c>
      <c r="C35" s="473">
        <v>30.437667519000001</v>
      </c>
      <c r="D35" s="473">
        <v>30.166425623999999</v>
      </c>
      <c r="E35" s="473">
        <v>23.145665490999999</v>
      </c>
      <c r="F35" s="473">
        <v>42.161140816</v>
      </c>
      <c r="G35" s="473">
        <v>25.588370397999999</v>
      </c>
      <c r="H35" s="471">
        <v>92.757118907999995</v>
      </c>
      <c r="I35" s="473">
        <v>183.65229561299998</v>
      </c>
      <c r="J35" s="341"/>
      <c r="K35" s="341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</row>
    <row r="36" spans="1:75" s="27" customFormat="1" ht="17.25" customHeight="1">
      <c r="A36" s="476" t="s">
        <v>49</v>
      </c>
      <c r="B36" s="477">
        <v>0</v>
      </c>
      <c r="C36" s="477">
        <v>0</v>
      </c>
      <c r="D36" s="477">
        <v>0</v>
      </c>
      <c r="E36" s="477">
        <v>0</v>
      </c>
      <c r="F36" s="477">
        <v>0</v>
      </c>
      <c r="G36" s="477">
        <v>0</v>
      </c>
      <c r="H36" s="471">
        <v>0</v>
      </c>
      <c r="I36" s="477">
        <v>0</v>
      </c>
      <c r="J36" s="341"/>
    </row>
    <row r="37" spans="1:75" s="27" customFormat="1" ht="17.25" customHeight="1">
      <c r="A37" s="476" t="s">
        <v>50</v>
      </c>
      <c r="B37" s="477">
        <v>7.378E-3</v>
      </c>
      <c r="C37" s="477">
        <v>0.136563296</v>
      </c>
      <c r="D37" s="483">
        <v>4.3030000000000004E-3</v>
      </c>
      <c r="E37" s="483">
        <v>1.9715710000000001E-2</v>
      </c>
      <c r="F37" s="477">
        <v>0.114462311</v>
      </c>
      <c r="G37" s="477">
        <v>0.37893104799999999</v>
      </c>
      <c r="H37" s="471">
        <v>0.148244296</v>
      </c>
      <c r="I37" s="477">
        <v>0.66135336499999997</v>
      </c>
      <c r="J37" s="342"/>
    </row>
    <row r="38" spans="1:75" ht="17.25" customHeight="1">
      <c r="A38" s="472" t="s">
        <v>52</v>
      </c>
      <c r="B38" s="473">
        <v>0</v>
      </c>
      <c r="C38" s="473">
        <v>0</v>
      </c>
      <c r="D38" s="473">
        <v>0</v>
      </c>
      <c r="E38" s="473">
        <v>0</v>
      </c>
      <c r="F38" s="473">
        <v>0</v>
      </c>
      <c r="G38" s="473">
        <v>0</v>
      </c>
      <c r="H38" s="471">
        <v>0</v>
      </c>
      <c r="I38" s="473">
        <v>0</v>
      </c>
      <c r="J38" s="343"/>
      <c r="K38" s="9"/>
    </row>
    <row r="39" spans="1:75" s="36" customFormat="1" ht="17.25" customHeight="1">
      <c r="A39" s="472" t="s">
        <v>54</v>
      </c>
      <c r="B39" s="473">
        <v>43.142418706765739</v>
      </c>
      <c r="C39" s="473">
        <v>22.867423509999998</v>
      </c>
      <c r="D39" s="473">
        <v>83.900143906575011</v>
      </c>
      <c r="E39" s="473">
        <v>39.684026000000003</v>
      </c>
      <c r="F39" s="473">
        <v>32.396970353</v>
      </c>
      <c r="G39" s="473">
        <v>58.759830780999998</v>
      </c>
      <c r="H39" s="471">
        <v>149.90998612334073</v>
      </c>
      <c r="I39" s="473">
        <v>280.75081325734072</v>
      </c>
      <c r="J39" s="344"/>
      <c r="K39" s="345"/>
    </row>
    <row r="40" spans="1:75" s="38" customFormat="1" ht="17.25" customHeight="1">
      <c r="A40" s="476" t="s">
        <v>55</v>
      </c>
      <c r="B40" s="477">
        <v>35.071010297264067</v>
      </c>
      <c r="C40" s="477">
        <v>16.477194395658113</v>
      </c>
      <c r="D40" s="477">
        <v>76.570697559645026</v>
      </c>
      <c r="E40" s="477">
        <v>34.506611778065</v>
      </c>
      <c r="F40" s="477">
        <v>31.222784909027414</v>
      </c>
      <c r="G40" s="477">
        <v>48.146031913789351</v>
      </c>
      <c r="H40" s="471">
        <v>128.11890225256721</v>
      </c>
      <c r="I40" s="473">
        <v>241.99433085344899</v>
      </c>
      <c r="J40" s="346"/>
      <c r="K40" s="347"/>
    </row>
    <row r="41" spans="1:75" s="38" customFormat="1" ht="17.25" customHeight="1">
      <c r="A41" s="476" t="s">
        <v>56</v>
      </c>
      <c r="B41" s="477">
        <v>8.0714084095016698</v>
      </c>
      <c r="C41" s="477">
        <v>6.3902291143418894</v>
      </c>
      <c r="D41" s="477">
        <v>7.3294463469300002</v>
      </c>
      <c r="E41" s="477">
        <v>5.1774142219350008</v>
      </c>
      <c r="F41" s="477">
        <v>1.1741854439725901</v>
      </c>
      <c r="G41" s="477">
        <v>10.613798867210651</v>
      </c>
      <c r="H41" s="471">
        <v>21.791083870773562</v>
      </c>
      <c r="I41" s="473">
        <v>38.756482403891809</v>
      </c>
      <c r="J41" s="343"/>
      <c r="K41" s="348"/>
    </row>
    <row r="42" spans="1:75" ht="17.25" customHeight="1">
      <c r="A42" s="472" t="s">
        <v>58</v>
      </c>
      <c r="B42" s="473">
        <v>14.078231199999999</v>
      </c>
      <c r="C42" s="473">
        <v>5.653124075</v>
      </c>
      <c r="D42" s="473">
        <v>2.2991828999999999</v>
      </c>
      <c r="E42" s="473">
        <v>14.056815425</v>
      </c>
      <c r="F42" s="473">
        <v>0.72848250000000003</v>
      </c>
      <c r="G42" s="473">
        <v>1.2263999999999999</v>
      </c>
      <c r="H42" s="471">
        <v>22.030538174999997</v>
      </c>
      <c r="I42" s="473">
        <v>38.042236099999997</v>
      </c>
      <c r="J42" s="344"/>
      <c r="K42" s="9"/>
    </row>
    <row r="43" spans="1:75" s="27" customFormat="1" ht="17.25" customHeight="1">
      <c r="A43" s="476"/>
      <c r="B43" s="477"/>
      <c r="C43" s="477"/>
      <c r="D43" s="477"/>
      <c r="E43" s="477"/>
      <c r="F43" s="477"/>
      <c r="G43" s="477"/>
      <c r="H43" s="477"/>
      <c r="I43" s="473"/>
      <c r="J43" s="350"/>
    </row>
    <row r="44" spans="1:75" s="27" customFormat="1" ht="17.25" hidden="1" customHeight="1">
      <c r="A44" s="476" t="s">
        <v>692</v>
      </c>
      <c r="B44" s="477"/>
      <c r="C44" s="477"/>
      <c r="D44" s="477"/>
      <c r="E44" s="477"/>
      <c r="F44" s="477"/>
      <c r="G44" s="477"/>
      <c r="H44" s="477"/>
      <c r="I44" s="473">
        <v>0</v>
      </c>
      <c r="J44" s="350"/>
      <c r="K44" s="338"/>
    </row>
    <row r="45" spans="1:75" ht="17.25" customHeight="1">
      <c r="A45" s="472" t="s">
        <v>34</v>
      </c>
      <c r="B45" s="473">
        <v>306.83875027200003</v>
      </c>
      <c r="C45" s="473">
        <v>145.27497308900001</v>
      </c>
      <c r="D45" s="473">
        <v>69.019766935000007</v>
      </c>
      <c r="E45" s="473">
        <v>195.956631061</v>
      </c>
      <c r="F45" s="473">
        <v>87.277057651999996</v>
      </c>
      <c r="G45" s="473">
        <v>45.860126184999999</v>
      </c>
      <c r="H45" s="473">
        <f>+B45+C45+D45</f>
        <v>521.13349029599999</v>
      </c>
      <c r="I45" s="473">
        <v>850.227305194</v>
      </c>
      <c r="J45" s="351"/>
    </row>
    <row r="46" spans="1:75" s="27" customFormat="1" ht="17.25" customHeight="1">
      <c r="A46" s="476" t="s">
        <v>60</v>
      </c>
      <c r="B46" s="477">
        <v>204.692038959</v>
      </c>
      <c r="C46" s="477">
        <v>114.76360572199999</v>
      </c>
      <c r="D46" s="477">
        <v>46.190019057000001</v>
      </c>
      <c r="E46" s="477">
        <v>89.128393947000006</v>
      </c>
      <c r="F46" s="477">
        <v>33.456710848999997</v>
      </c>
      <c r="G46" s="477">
        <v>35.091938446999997</v>
      </c>
      <c r="H46" s="473">
        <f t="shared" ref="H46:H109" si="0">+B46+C46+D46</f>
        <v>365.64566373799994</v>
      </c>
      <c r="I46" s="473">
        <v>523.3227069809999</v>
      </c>
      <c r="K46" s="338"/>
    </row>
    <row r="47" spans="1:75" s="27" customFormat="1" ht="17.25" customHeight="1">
      <c r="A47" s="476" t="s">
        <v>693</v>
      </c>
      <c r="B47" s="477">
        <v>0.61925824299999999</v>
      </c>
      <c r="C47" s="477">
        <v>0.63378831300000005</v>
      </c>
      <c r="D47" s="477">
        <v>0.57670411799999999</v>
      </c>
      <c r="E47" s="477">
        <v>0.51938123899999999</v>
      </c>
      <c r="F47" s="477">
        <v>0.49714614000000001</v>
      </c>
      <c r="G47" s="477">
        <v>0.59647397400000002</v>
      </c>
      <c r="H47" s="473">
        <f t="shared" si="0"/>
        <v>1.829750674</v>
      </c>
      <c r="I47" s="473">
        <v>3.442752027</v>
      </c>
      <c r="J47" s="338"/>
    </row>
    <row r="48" spans="1:75" s="27" customFormat="1" ht="17.25" customHeight="1">
      <c r="A48" s="476" t="s">
        <v>61</v>
      </c>
      <c r="B48" s="477">
        <v>102.146711313</v>
      </c>
      <c r="C48" s="477">
        <v>30.511367366999998</v>
      </c>
      <c r="D48" s="477">
        <v>22.829747877999999</v>
      </c>
      <c r="E48" s="477">
        <v>106.828237114</v>
      </c>
      <c r="F48" s="477">
        <v>53.820346803</v>
      </c>
      <c r="G48" s="477">
        <v>10.768187738</v>
      </c>
      <c r="H48" s="473">
        <f t="shared" si="0"/>
        <v>155.48782655799999</v>
      </c>
      <c r="I48" s="473">
        <v>326.90459821299999</v>
      </c>
    </row>
    <row r="49" spans="1:75" s="27" customFormat="1" ht="17.25" customHeight="1">
      <c r="A49" s="476" t="s">
        <v>694</v>
      </c>
      <c r="B49" s="477">
        <v>2.62</v>
      </c>
      <c r="C49" s="477">
        <v>3.6</v>
      </c>
      <c r="D49" s="477">
        <v>3.9728493619999998</v>
      </c>
      <c r="E49" s="477">
        <v>3.6280470650000001</v>
      </c>
      <c r="F49" s="477">
        <v>3.6619098879999998</v>
      </c>
      <c r="G49" s="477">
        <v>2.8829670549999999</v>
      </c>
      <c r="H49" s="473">
        <f t="shared" si="0"/>
        <v>10.192849362</v>
      </c>
      <c r="I49" s="473">
        <v>20.365773369999999</v>
      </c>
    </row>
    <row r="50" spans="1:75" s="27" customFormat="1" ht="17.25" customHeight="1">
      <c r="A50" s="476" t="s">
        <v>695</v>
      </c>
      <c r="B50" s="477">
        <v>5.1253731690000004</v>
      </c>
      <c r="C50" s="477">
        <v>5.7360640580000002</v>
      </c>
      <c r="D50" s="477">
        <v>5.0370970470999996</v>
      </c>
      <c r="E50" s="477">
        <v>5.3789517590000004</v>
      </c>
      <c r="F50" s="477">
        <v>5.3985384132999998</v>
      </c>
      <c r="G50" s="477">
        <v>5.3498159440000004</v>
      </c>
      <c r="H50" s="473">
        <f t="shared" si="0"/>
        <v>15.898534274099999</v>
      </c>
      <c r="I50" s="473">
        <v>32.025840390399999</v>
      </c>
    </row>
    <row r="51" spans="1:75" s="39" customFormat="1" ht="17.25" customHeight="1">
      <c r="A51" s="472" t="s">
        <v>63</v>
      </c>
      <c r="B51" s="473">
        <v>1.701735641</v>
      </c>
      <c r="C51" s="473">
        <v>2.4017119139999998</v>
      </c>
      <c r="D51" s="473">
        <v>3.0250156700000002</v>
      </c>
      <c r="E51" s="473">
        <v>2.5851876499999999</v>
      </c>
      <c r="F51" s="473">
        <v>1.7571512789999999</v>
      </c>
      <c r="G51" s="473">
        <v>1.9016091820000001</v>
      </c>
      <c r="H51" s="473">
        <f t="shared" si="0"/>
        <v>7.128463225</v>
      </c>
      <c r="I51" s="473">
        <v>13.372411335999999</v>
      </c>
      <c r="J51" s="352"/>
      <c r="K51" s="352"/>
    </row>
    <row r="52" spans="1:75" ht="17.25" customHeight="1">
      <c r="A52" s="472" t="s">
        <v>65</v>
      </c>
      <c r="B52" s="473">
        <v>45.745738969999998</v>
      </c>
      <c r="C52" s="473">
        <v>29.479285624999999</v>
      </c>
      <c r="D52" s="473">
        <v>1.820996107</v>
      </c>
      <c r="E52" s="473">
        <v>18.161732013999998</v>
      </c>
      <c r="F52" s="473">
        <v>44.504181483000004</v>
      </c>
      <c r="G52" s="473">
        <v>2.387276935</v>
      </c>
      <c r="H52" s="473">
        <f t="shared" si="0"/>
        <v>77.046020701999993</v>
      </c>
      <c r="I52" s="473">
        <v>142.09921113399997</v>
      </c>
      <c r="J52" s="484"/>
      <c r="K52" s="9"/>
    </row>
    <row r="53" spans="1:75" ht="17.25" customHeight="1">
      <c r="A53" s="472" t="s">
        <v>66</v>
      </c>
      <c r="B53" s="473">
        <v>45.745738969999998</v>
      </c>
      <c r="C53" s="473">
        <v>29.479285624999999</v>
      </c>
      <c r="D53" s="473">
        <v>1.820996107</v>
      </c>
      <c r="E53" s="473">
        <v>18.161732013999998</v>
      </c>
      <c r="F53" s="473">
        <v>44.504181483000004</v>
      </c>
      <c r="G53" s="473">
        <v>2.387276935</v>
      </c>
      <c r="H53" s="473">
        <f t="shared" si="0"/>
        <v>77.046020701999993</v>
      </c>
      <c r="I53" s="473">
        <v>142.09921113399997</v>
      </c>
    </row>
    <row r="54" spans="1:75" s="27" customFormat="1" ht="17.25" customHeight="1">
      <c r="A54" s="476" t="s">
        <v>67</v>
      </c>
      <c r="B54" s="477">
        <v>28.353325099999999</v>
      </c>
      <c r="C54" s="477">
        <v>16.569921749999999</v>
      </c>
      <c r="D54" s="477">
        <v>0.27399299999999999</v>
      </c>
      <c r="E54" s="477">
        <v>0.91555675000000003</v>
      </c>
      <c r="F54" s="477">
        <v>5.3306655000000003</v>
      </c>
      <c r="G54" s="477">
        <v>1.335542</v>
      </c>
      <c r="H54" s="473">
        <f t="shared" si="0"/>
        <v>45.197239849999995</v>
      </c>
      <c r="I54" s="477">
        <v>52.779004099999995</v>
      </c>
    </row>
    <row r="55" spans="1:75" s="27" customFormat="1" ht="17.25" customHeight="1">
      <c r="A55" s="476" t="s">
        <v>68</v>
      </c>
      <c r="B55" s="477">
        <v>10.949630519999999</v>
      </c>
      <c r="C55" s="477">
        <v>10.964706997</v>
      </c>
      <c r="D55" s="477">
        <v>0</v>
      </c>
      <c r="E55" s="477">
        <v>15.2130861</v>
      </c>
      <c r="F55" s="477">
        <v>37.068444442000001</v>
      </c>
      <c r="G55" s="477">
        <v>0</v>
      </c>
      <c r="H55" s="473">
        <f t="shared" si="0"/>
        <v>21.914337517</v>
      </c>
      <c r="I55" s="477">
        <v>74.195868058999991</v>
      </c>
    </row>
    <row r="56" spans="1:75" s="27" customFormat="1" ht="17.25" customHeight="1">
      <c r="A56" s="476" t="s">
        <v>69</v>
      </c>
      <c r="B56" s="477">
        <v>0</v>
      </c>
      <c r="C56" s="477">
        <v>0</v>
      </c>
      <c r="D56" s="477">
        <v>0</v>
      </c>
      <c r="E56" s="477">
        <v>0.59994999999999998</v>
      </c>
      <c r="F56" s="477">
        <v>0.22096089999999999</v>
      </c>
      <c r="G56" s="477">
        <v>0</v>
      </c>
      <c r="H56" s="473">
        <f t="shared" si="0"/>
        <v>0</v>
      </c>
      <c r="I56" s="477">
        <v>0.8209109</v>
      </c>
    </row>
    <row r="57" spans="1:75" ht="17.25" customHeight="1">
      <c r="A57" s="472" t="s">
        <v>70</v>
      </c>
      <c r="B57" s="473">
        <v>0</v>
      </c>
      <c r="C57" s="473">
        <v>0</v>
      </c>
      <c r="D57" s="473">
        <v>0</v>
      </c>
      <c r="E57" s="473">
        <v>0</v>
      </c>
      <c r="F57" s="473">
        <v>0</v>
      </c>
      <c r="G57" s="473">
        <v>0</v>
      </c>
      <c r="H57" s="473">
        <f t="shared" si="0"/>
        <v>0</v>
      </c>
      <c r="I57" s="473">
        <v>0</v>
      </c>
      <c r="O57" s="9"/>
    </row>
    <row r="58" spans="1:75" s="27" customFormat="1" ht="17.25" customHeight="1">
      <c r="A58" s="476" t="s">
        <v>71</v>
      </c>
      <c r="B58" s="473">
        <v>0</v>
      </c>
      <c r="C58" s="473">
        <v>0</v>
      </c>
      <c r="D58" s="473">
        <v>0</v>
      </c>
      <c r="E58" s="473">
        <v>0</v>
      </c>
      <c r="F58" s="473">
        <v>0</v>
      </c>
      <c r="G58" s="473">
        <v>0</v>
      </c>
      <c r="H58" s="473">
        <f t="shared" si="0"/>
        <v>0</v>
      </c>
      <c r="I58" s="473">
        <v>0</v>
      </c>
    </row>
    <row r="59" spans="1:75" s="27" customFormat="1" ht="17.25" customHeight="1">
      <c r="A59" s="476" t="s">
        <v>72</v>
      </c>
      <c r="B59" s="473">
        <v>0</v>
      </c>
      <c r="C59" s="473">
        <v>0</v>
      </c>
      <c r="D59" s="473">
        <v>0</v>
      </c>
      <c r="E59" s="473">
        <v>0</v>
      </c>
      <c r="F59" s="473">
        <v>0</v>
      </c>
      <c r="G59" s="473">
        <v>0</v>
      </c>
      <c r="H59" s="473">
        <f t="shared" si="0"/>
        <v>0</v>
      </c>
      <c r="I59" s="473">
        <v>0</v>
      </c>
    </row>
    <row r="60" spans="1:75" s="12" customFormat="1" ht="17.25" customHeight="1">
      <c r="A60" s="485" t="s">
        <v>74</v>
      </c>
      <c r="B60" s="471">
        <v>-325.36047866193917</v>
      </c>
      <c r="C60" s="471">
        <v>-53.360967470999924</v>
      </c>
      <c r="D60" s="471">
        <v>-14.303725683658342</v>
      </c>
      <c r="E60" s="471">
        <v>-38.887924255111102</v>
      </c>
      <c r="F60" s="471">
        <v>10.071065538705454</v>
      </c>
      <c r="G60" s="471">
        <v>118.17072481399995</v>
      </c>
      <c r="H60" s="473">
        <f t="shared" si="0"/>
        <v>-393.02517181659744</v>
      </c>
      <c r="I60" s="471">
        <v>-303.6713057190027</v>
      </c>
      <c r="J60"/>
      <c r="K60" s="9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 s="12" customFormat="1" ht="17.25" customHeight="1">
      <c r="A61" s="485" t="s">
        <v>76</v>
      </c>
      <c r="B61" s="471">
        <v>-325.36047866193917</v>
      </c>
      <c r="C61" s="471">
        <v>-53.360967470999924</v>
      </c>
      <c r="D61" s="471">
        <v>-14.303725683658342</v>
      </c>
      <c r="E61" s="471">
        <v>-38.887924255111102</v>
      </c>
      <c r="F61" s="471">
        <v>10.071065538705454</v>
      </c>
      <c r="G61" s="471">
        <v>118.17072481399995</v>
      </c>
      <c r="H61" s="473">
        <f t="shared" si="0"/>
        <v>-393.02517181659744</v>
      </c>
      <c r="I61" s="471">
        <v>-303.6713057190027</v>
      </c>
      <c r="J61" s="354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 s="36" customFormat="1" ht="17.25" customHeight="1">
      <c r="A62" s="468" t="s">
        <v>77</v>
      </c>
      <c r="B62" s="486"/>
      <c r="C62" s="486"/>
      <c r="D62" s="486"/>
      <c r="E62" s="486"/>
      <c r="F62" s="486"/>
      <c r="G62" s="486"/>
      <c r="H62" s="473">
        <f t="shared" si="0"/>
        <v>0</v>
      </c>
      <c r="I62" s="486"/>
    </row>
    <row r="63" spans="1:75" ht="17.25" customHeight="1">
      <c r="A63" s="470" t="s">
        <v>79</v>
      </c>
      <c r="B63" s="471">
        <v>55.683328258333319</v>
      </c>
      <c r="C63" s="471">
        <v>37.488191667000009</v>
      </c>
      <c r="D63" s="471">
        <v>68.649333043666658</v>
      </c>
      <c r="E63" s="471">
        <v>64.490077076666665</v>
      </c>
      <c r="F63" s="471">
        <v>53.828856948666683</v>
      </c>
      <c r="G63" s="471">
        <v>30.733191903000005</v>
      </c>
      <c r="H63" s="473">
        <f t="shared" si="0"/>
        <v>161.82085296899999</v>
      </c>
      <c r="I63" s="471">
        <v>310.87297889733338</v>
      </c>
      <c r="J63" s="9"/>
      <c r="K63" s="9"/>
    </row>
    <row r="64" spans="1:75" ht="17.25" customHeight="1">
      <c r="A64" s="472" t="s">
        <v>81</v>
      </c>
      <c r="B64" s="473">
        <v>55.683328258333326</v>
      </c>
      <c r="C64" s="473">
        <v>37.488191667000002</v>
      </c>
      <c r="D64" s="473">
        <v>68.649333043666672</v>
      </c>
      <c r="E64" s="473">
        <v>64.490077076666665</v>
      </c>
      <c r="F64" s="473">
        <v>53.742130848666676</v>
      </c>
      <c r="G64" s="473">
        <v>30.733191903000002</v>
      </c>
      <c r="H64" s="473">
        <f t="shared" si="0"/>
        <v>161.82085296899999</v>
      </c>
      <c r="I64" s="473">
        <v>310.7862527973333</v>
      </c>
      <c r="K64" s="9"/>
    </row>
    <row r="65" spans="1:75" s="27" customFormat="1" ht="17.25" customHeight="1">
      <c r="A65" s="476" t="s">
        <v>82</v>
      </c>
      <c r="B65" s="477">
        <v>2.4994924999994339E-2</v>
      </c>
      <c r="C65" s="477">
        <v>1.1881916670000052</v>
      </c>
      <c r="D65" s="477">
        <v>2.7076663769999954</v>
      </c>
      <c r="E65" s="477">
        <v>7.8234104099999939</v>
      </c>
      <c r="F65" s="477">
        <v>6.553241959999994</v>
      </c>
      <c r="G65" s="477">
        <v>8.7331919030000016</v>
      </c>
      <c r="H65" s="473">
        <f t="shared" si="0"/>
        <v>3.9208529689999949</v>
      </c>
      <c r="I65" s="477">
        <v>27.030697241999984</v>
      </c>
      <c r="J65" s="355"/>
      <c r="K65" s="338"/>
    </row>
    <row r="66" spans="1:75" s="27" customFormat="1" ht="17.25" hidden="1" customHeight="1">
      <c r="A66" s="476" t="s">
        <v>83</v>
      </c>
      <c r="B66" s="477"/>
      <c r="C66" s="477"/>
      <c r="D66" s="477"/>
      <c r="E66" s="477"/>
      <c r="F66" s="477"/>
      <c r="G66" s="477"/>
      <c r="H66" s="473">
        <f t="shared" si="0"/>
        <v>0</v>
      </c>
      <c r="I66" s="477">
        <v>0</v>
      </c>
      <c r="L66" s="338"/>
    </row>
    <row r="67" spans="1:75" s="27" customFormat="1" ht="17.25" customHeight="1">
      <c r="A67" s="476" t="s">
        <v>84</v>
      </c>
      <c r="B67" s="477">
        <v>55.658333333333331</v>
      </c>
      <c r="C67" s="477">
        <v>36.299999999999997</v>
      </c>
      <c r="D67" s="477">
        <v>65.941666666666677</v>
      </c>
      <c r="E67" s="477">
        <v>56.666666666666671</v>
      </c>
      <c r="F67" s="477">
        <v>47.188888888666682</v>
      </c>
      <c r="G67" s="477">
        <v>22</v>
      </c>
      <c r="H67" s="473">
        <f t="shared" si="0"/>
        <v>157.9</v>
      </c>
      <c r="I67" s="477">
        <v>283.75555555533333</v>
      </c>
      <c r="J67" s="338"/>
      <c r="K67" s="338"/>
    </row>
    <row r="68" spans="1:75" ht="17.25" customHeight="1">
      <c r="A68" s="472" t="s">
        <v>86</v>
      </c>
      <c r="B68" s="473">
        <v>0</v>
      </c>
      <c r="C68" s="473">
        <v>0</v>
      </c>
      <c r="D68" s="473">
        <v>0</v>
      </c>
      <c r="E68" s="473">
        <v>0</v>
      </c>
      <c r="F68" s="473">
        <v>3.6831750000000003E-2</v>
      </c>
      <c r="G68" s="473">
        <v>0</v>
      </c>
      <c r="H68" s="473">
        <f t="shared" si="0"/>
        <v>0</v>
      </c>
      <c r="I68" s="473">
        <v>3.6831750000000003E-2</v>
      </c>
      <c r="K68" s="9"/>
    </row>
    <row r="69" spans="1:75" ht="17.25" customHeight="1">
      <c r="A69" s="472" t="s">
        <v>88</v>
      </c>
      <c r="B69" s="473">
        <v>0</v>
      </c>
      <c r="C69" s="473">
        <v>0</v>
      </c>
      <c r="D69" s="473">
        <v>0</v>
      </c>
      <c r="E69" s="473">
        <v>0</v>
      </c>
      <c r="F69" s="473">
        <v>4.9894349999999997E-2</v>
      </c>
      <c r="G69" s="473">
        <v>0</v>
      </c>
      <c r="H69" s="473">
        <f t="shared" si="0"/>
        <v>0</v>
      </c>
      <c r="I69" s="473">
        <v>4.9894349999999997E-2</v>
      </c>
      <c r="J69" s="9"/>
      <c r="K69" s="9"/>
      <c r="L69" s="9"/>
    </row>
    <row r="70" spans="1:75" ht="17.25" customHeight="1">
      <c r="A70" s="472" t="s">
        <v>90</v>
      </c>
      <c r="B70" s="473">
        <v>0</v>
      </c>
      <c r="C70" s="473">
        <v>0</v>
      </c>
      <c r="D70" s="473">
        <v>0</v>
      </c>
      <c r="E70" s="473">
        <v>0</v>
      </c>
      <c r="F70" s="473">
        <v>0</v>
      </c>
      <c r="G70" s="473">
        <v>0</v>
      </c>
      <c r="H70" s="473">
        <f t="shared" si="0"/>
        <v>0</v>
      </c>
      <c r="I70" s="473">
        <v>0</v>
      </c>
      <c r="K70" s="9"/>
      <c r="L70" s="9"/>
    </row>
    <row r="71" spans="1:75" ht="17.25" customHeight="1">
      <c r="A71" s="472" t="s">
        <v>696</v>
      </c>
      <c r="B71" s="473"/>
      <c r="C71" s="473"/>
      <c r="D71" s="473"/>
      <c r="E71" s="473"/>
      <c r="F71" s="473"/>
      <c r="G71" s="473"/>
      <c r="H71" s="473">
        <f t="shared" si="0"/>
        <v>0</v>
      </c>
      <c r="I71" s="473">
        <v>0</v>
      </c>
      <c r="K71" s="9"/>
      <c r="L71" s="9"/>
    </row>
    <row r="72" spans="1:75" s="46" customFormat="1" ht="17.25" customHeight="1">
      <c r="A72" s="487" t="s">
        <v>92</v>
      </c>
      <c r="B72" s="488">
        <v>-381.04380692027246</v>
      </c>
      <c r="C72" s="488">
        <v>-90.849159137999933</v>
      </c>
      <c r="D72" s="488">
        <v>-82.953058727325001</v>
      </c>
      <c r="E72" s="488">
        <v>-103.37800133177777</v>
      </c>
      <c r="F72" s="488">
        <v>-43.757791409961229</v>
      </c>
      <c r="G72" s="488">
        <v>87.437532910999948</v>
      </c>
      <c r="H72" s="473">
        <f t="shared" si="0"/>
        <v>-554.84602478559736</v>
      </c>
      <c r="I72" s="488">
        <v>-614.54428461633609</v>
      </c>
      <c r="J72" s="356"/>
      <c r="K72" s="357"/>
      <c r="L72" s="358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</row>
    <row r="73" spans="1:75" s="36" customFormat="1" ht="23.25" customHeight="1">
      <c r="A73" s="489" t="s">
        <v>93</v>
      </c>
      <c r="B73" s="490"/>
      <c r="C73" s="490"/>
      <c r="D73" s="490"/>
      <c r="E73" s="490"/>
      <c r="F73" s="490"/>
      <c r="G73" s="490"/>
      <c r="H73" s="473">
        <f t="shared" si="0"/>
        <v>0</v>
      </c>
      <c r="I73" s="490"/>
      <c r="J73" s="345"/>
      <c r="K73" s="345"/>
      <c r="L73" s="345"/>
    </row>
    <row r="74" spans="1:75" ht="17.25" customHeight="1">
      <c r="A74" s="470" t="s">
        <v>95</v>
      </c>
      <c r="B74" s="471">
        <v>28.432504674</v>
      </c>
      <c r="C74" s="471">
        <v>34.525051799000003</v>
      </c>
      <c r="D74" s="471">
        <v>469.334671915</v>
      </c>
      <c r="E74" s="471">
        <v>-45.042271354</v>
      </c>
      <c r="F74" s="471">
        <v>143.928457753</v>
      </c>
      <c r="G74" s="471">
        <v>374.80757276600002</v>
      </c>
      <c r="H74" s="473">
        <f t="shared" si="0"/>
        <v>532.29222838800001</v>
      </c>
      <c r="I74" s="471">
        <v>1005.985987553</v>
      </c>
      <c r="J74" s="9"/>
      <c r="K74" s="359"/>
      <c r="L74" s="9"/>
    </row>
    <row r="75" spans="1:75" ht="17.25" customHeight="1">
      <c r="A75" s="472" t="s">
        <v>97</v>
      </c>
      <c r="B75" s="473">
        <v>28.432504674</v>
      </c>
      <c r="C75" s="473">
        <v>34.525051799000003</v>
      </c>
      <c r="D75" s="473">
        <v>469.334671915</v>
      </c>
      <c r="E75" s="473">
        <v>-45.042271354</v>
      </c>
      <c r="F75" s="473">
        <v>143.928457753</v>
      </c>
      <c r="G75" s="473">
        <v>374.80757276600002</v>
      </c>
      <c r="H75" s="473">
        <f t="shared" si="0"/>
        <v>532.29222838800001</v>
      </c>
      <c r="I75" s="473">
        <v>1005.985987553</v>
      </c>
      <c r="J75" s="360"/>
      <c r="K75" s="361"/>
    </row>
    <row r="76" spans="1:75" s="27" customFormat="1" ht="17.25" customHeight="1">
      <c r="A76" s="476" t="s">
        <v>98</v>
      </c>
      <c r="B76" s="477">
        <v>27.176327653000001</v>
      </c>
      <c r="C76" s="477">
        <v>33.844829335</v>
      </c>
      <c r="D76" s="477">
        <v>218.12478788600001</v>
      </c>
      <c r="E76" s="477">
        <v>-43.115799438000003</v>
      </c>
      <c r="F76" s="477">
        <v>91.796064486000006</v>
      </c>
      <c r="G76" s="477">
        <v>337.40115699900002</v>
      </c>
      <c r="H76" s="473">
        <f t="shared" si="0"/>
        <v>279.14594487400001</v>
      </c>
      <c r="I76" s="477">
        <v>665.227366921</v>
      </c>
      <c r="J76" s="338"/>
      <c r="K76" s="338"/>
      <c r="L76" s="338"/>
    </row>
    <row r="77" spans="1:75" s="27" customFormat="1" ht="17.25" customHeight="1">
      <c r="A77" s="476" t="s">
        <v>99</v>
      </c>
      <c r="B77" s="477">
        <v>0</v>
      </c>
      <c r="C77" s="477">
        <v>0</v>
      </c>
      <c r="D77" s="477">
        <v>0</v>
      </c>
      <c r="E77" s="477">
        <v>0</v>
      </c>
      <c r="F77" s="477">
        <v>0</v>
      </c>
      <c r="G77" s="477">
        <v>0</v>
      </c>
      <c r="H77" s="473">
        <f t="shared" si="0"/>
        <v>0</v>
      </c>
      <c r="I77" s="477">
        <v>0</v>
      </c>
      <c r="J77" s="338"/>
      <c r="K77" s="338"/>
      <c r="L77" s="338"/>
    </row>
    <row r="78" spans="1:75" s="27" customFormat="1" ht="17.25" customHeight="1">
      <c r="A78" s="476" t="s">
        <v>100</v>
      </c>
      <c r="B78" s="477">
        <v>-0.31330506600000002</v>
      </c>
      <c r="C78" s="477">
        <v>-0.31196659700000001</v>
      </c>
      <c r="D78" s="477">
        <v>252.11229601599999</v>
      </c>
      <c r="E78" s="477">
        <v>-0.32456026100000002</v>
      </c>
      <c r="F78" s="477">
        <v>36.847349575000003</v>
      </c>
      <c r="G78" s="477">
        <v>37.408141817999997</v>
      </c>
      <c r="H78" s="473">
        <f t="shared" si="0"/>
        <v>251.48702435299998</v>
      </c>
      <c r="I78" s="477">
        <v>325.41795548499999</v>
      </c>
      <c r="J78" s="338"/>
      <c r="K78" s="338"/>
    </row>
    <row r="79" spans="1:75" s="27" customFormat="1" ht="17.25" customHeight="1">
      <c r="A79" s="491" t="s">
        <v>101</v>
      </c>
      <c r="B79" s="477">
        <v>0</v>
      </c>
      <c r="C79" s="477">
        <v>0</v>
      </c>
      <c r="D79" s="477">
        <v>252.42099999999999</v>
      </c>
      <c r="E79" s="477">
        <v>0</v>
      </c>
      <c r="F79" s="477">
        <v>37.171500000000002</v>
      </c>
      <c r="G79" s="477">
        <v>37.700000000000003</v>
      </c>
      <c r="H79" s="473">
        <f t="shared" si="0"/>
        <v>252.42099999999999</v>
      </c>
      <c r="I79" s="477">
        <v>327.29249999999996</v>
      </c>
      <c r="J79" s="338"/>
      <c r="K79" s="338"/>
    </row>
    <row r="80" spans="1:75" s="27" customFormat="1" ht="17.25" customHeight="1">
      <c r="A80" s="492" t="s">
        <v>102</v>
      </c>
      <c r="B80" s="475">
        <v>0</v>
      </c>
      <c r="C80" s="475">
        <v>0</v>
      </c>
      <c r="D80" s="475">
        <v>0</v>
      </c>
      <c r="E80" s="475">
        <v>0</v>
      </c>
      <c r="F80" s="475">
        <v>0</v>
      </c>
      <c r="G80" s="475">
        <v>0</v>
      </c>
      <c r="H80" s="473">
        <f t="shared" si="0"/>
        <v>0</v>
      </c>
      <c r="I80" s="477">
        <v>0</v>
      </c>
    </row>
    <row r="81" spans="1:10" s="27" customFormat="1" ht="17.25" customHeight="1">
      <c r="A81" s="476" t="s">
        <v>103</v>
      </c>
      <c r="B81" s="477">
        <v>0</v>
      </c>
      <c r="C81" s="477">
        <v>0</v>
      </c>
      <c r="D81" s="477">
        <v>0</v>
      </c>
      <c r="E81" s="477">
        <v>0</v>
      </c>
      <c r="F81" s="477">
        <v>0</v>
      </c>
      <c r="G81" s="477">
        <v>0</v>
      </c>
      <c r="H81" s="473">
        <f t="shared" si="0"/>
        <v>0</v>
      </c>
      <c r="I81" s="477">
        <v>0</v>
      </c>
    </row>
    <row r="82" spans="1:10" s="27" customFormat="1" ht="17.25" customHeight="1">
      <c r="A82" s="493" t="s">
        <v>104</v>
      </c>
      <c r="B82" s="477">
        <v>0</v>
      </c>
      <c r="C82" s="477">
        <v>0</v>
      </c>
      <c r="D82" s="477">
        <v>0</v>
      </c>
      <c r="E82" s="477">
        <v>0</v>
      </c>
      <c r="F82" s="477">
        <v>0</v>
      </c>
      <c r="G82" s="477">
        <v>0</v>
      </c>
      <c r="H82" s="473">
        <f t="shared" si="0"/>
        <v>0</v>
      </c>
      <c r="I82" s="477">
        <v>0</v>
      </c>
    </row>
    <row r="83" spans="1:10" s="27" customFormat="1" ht="17.25" customHeight="1">
      <c r="A83" s="493" t="s">
        <v>105</v>
      </c>
      <c r="B83" s="477">
        <v>0</v>
      </c>
      <c r="C83" s="477">
        <v>0</v>
      </c>
      <c r="D83" s="477">
        <v>0</v>
      </c>
      <c r="E83" s="477">
        <v>0</v>
      </c>
      <c r="F83" s="477">
        <v>0</v>
      </c>
      <c r="G83" s="477">
        <v>0</v>
      </c>
      <c r="H83" s="473">
        <f t="shared" si="0"/>
        <v>0</v>
      </c>
      <c r="I83" s="477">
        <v>0</v>
      </c>
    </row>
    <row r="84" spans="1:10" s="27" customFormat="1" ht="17.25" customHeight="1">
      <c r="A84" s="493" t="s">
        <v>106</v>
      </c>
      <c r="B84" s="477">
        <v>1.5694820869999999</v>
      </c>
      <c r="C84" s="477">
        <v>0.99218906100000004</v>
      </c>
      <c r="D84" s="477">
        <v>-0.90241198700000003</v>
      </c>
      <c r="E84" s="477">
        <v>-1.6019116550000001</v>
      </c>
      <c r="F84" s="477">
        <v>15.285043692</v>
      </c>
      <c r="G84" s="477">
        <v>-1.7260509999999999E-3</v>
      </c>
      <c r="H84" s="473">
        <f t="shared" si="0"/>
        <v>1.6592591609999998</v>
      </c>
      <c r="I84" s="477">
        <v>15.340665146999999</v>
      </c>
    </row>
    <row r="85" spans="1:10" ht="17.25" customHeight="1">
      <c r="A85" s="472" t="s">
        <v>108</v>
      </c>
      <c r="B85" s="473">
        <v>0</v>
      </c>
      <c r="C85" s="473">
        <v>0</v>
      </c>
      <c r="D85" s="473">
        <v>0</v>
      </c>
      <c r="E85" s="473">
        <v>0</v>
      </c>
      <c r="F85" s="473">
        <v>0</v>
      </c>
      <c r="G85" s="473">
        <v>0</v>
      </c>
      <c r="H85" s="473">
        <f t="shared" si="0"/>
        <v>0</v>
      </c>
      <c r="I85" s="473">
        <v>0</v>
      </c>
    </row>
    <row r="86" spans="1:10" ht="17.25" customHeight="1">
      <c r="A86" s="472" t="s">
        <v>110</v>
      </c>
      <c r="B86" s="473">
        <v>0</v>
      </c>
      <c r="C86" s="473">
        <v>0</v>
      </c>
      <c r="D86" s="473">
        <v>0</v>
      </c>
      <c r="E86" s="473">
        <v>0</v>
      </c>
      <c r="F86" s="473">
        <v>0</v>
      </c>
      <c r="G86" s="473">
        <v>0</v>
      </c>
      <c r="H86" s="473">
        <f t="shared" si="0"/>
        <v>0</v>
      </c>
      <c r="I86" s="473">
        <v>0</v>
      </c>
    </row>
    <row r="87" spans="1:10" ht="17.25" customHeight="1">
      <c r="A87" s="470" t="s">
        <v>112</v>
      </c>
      <c r="B87" s="471">
        <v>411.99933158045343</v>
      </c>
      <c r="C87" s="471">
        <v>125.088620107</v>
      </c>
      <c r="D87" s="471">
        <v>552.36432022604276</v>
      </c>
      <c r="E87" s="471">
        <v>59.333383899777779</v>
      </c>
      <c r="F87" s="471">
        <v>188.05632515077775</v>
      </c>
      <c r="G87" s="471">
        <v>287.46779371100001</v>
      </c>
      <c r="H87" s="473">
        <f t="shared" si="0"/>
        <v>1089.4522719134961</v>
      </c>
      <c r="I87" s="471">
        <v>1624.3097746750516</v>
      </c>
      <c r="J87" s="9"/>
    </row>
    <row r="88" spans="1:10" ht="17.25" customHeight="1">
      <c r="A88" s="472" t="s">
        <v>97</v>
      </c>
      <c r="B88" s="473">
        <v>333.01982536717497</v>
      </c>
      <c r="C88" s="473">
        <v>66.515329476999995</v>
      </c>
      <c r="D88" s="473">
        <v>114.77080197799999</v>
      </c>
      <c r="E88" s="473">
        <v>-15.525868026000005</v>
      </c>
      <c r="F88" s="473">
        <v>-63.574092507099998</v>
      </c>
      <c r="G88" s="473">
        <v>59.618021548000016</v>
      </c>
      <c r="H88" s="473">
        <f t="shared" si="0"/>
        <v>514.30595682217495</v>
      </c>
      <c r="I88" s="473">
        <v>494.82401783707502</v>
      </c>
      <c r="J88" s="9"/>
    </row>
    <row r="89" spans="1:10" s="366" customFormat="1" ht="17.25" customHeight="1">
      <c r="A89" s="363" t="s">
        <v>114</v>
      </c>
      <c r="B89" s="364">
        <v>91.32735380017499</v>
      </c>
      <c r="C89" s="364">
        <v>31.243257369999998</v>
      </c>
      <c r="D89" s="364">
        <v>48.371577500000001</v>
      </c>
      <c r="E89" s="364">
        <v>35.599876119999998</v>
      </c>
      <c r="F89" s="364">
        <v>1.3007667199000015</v>
      </c>
      <c r="G89" s="364">
        <v>12.53372794</v>
      </c>
      <c r="H89" s="473">
        <f t="shared" si="0"/>
        <v>170.94218867017497</v>
      </c>
      <c r="I89" s="364">
        <v>220.37655945007498</v>
      </c>
      <c r="J89" s="365"/>
    </row>
    <row r="90" spans="1:10" s="30" customFormat="1" ht="17.25" customHeight="1">
      <c r="A90" s="476" t="s">
        <v>115</v>
      </c>
      <c r="B90" s="477">
        <v>0</v>
      </c>
      <c r="C90" s="477">
        <v>1.0509999999999999</v>
      </c>
      <c r="D90" s="477">
        <v>0</v>
      </c>
      <c r="E90" s="477">
        <v>0</v>
      </c>
      <c r="F90" s="477">
        <v>0</v>
      </c>
      <c r="G90" s="477">
        <v>0</v>
      </c>
      <c r="H90" s="473">
        <f t="shared" si="0"/>
        <v>1.0509999999999999</v>
      </c>
      <c r="I90" s="477">
        <v>1.0509999999999999</v>
      </c>
    </row>
    <row r="91" spans="1:10" s="30" customFormat="1" ht="17.25" customHeight="1">
      <c r="A91" s="476" t="s">
        <v>116</v>
      </c>
      <c r="B91" s="477">
        <v>30</v>
      </c>
      <c r="C91" s="477">
        <v>1.0509999999999999</v>
      </c>
      <c r="D91" s="477">
        <v>0</v>
      </c>
      <c r="E91" s="477">
        <v>-35.503807799999997</v>
      </c>
      <c r="F91" s="477">
        <v>-2.2071817999999999</v>
      </c>
      <c r="G91" s="477">
        <v>36.142000000000003</v>
      </c>
      <c r="H91" s="473">
        <f t="shared" si="0"/>
        <v>31.050999999999998</v>
      </c>
      <c r="I91" s="477">
        <v>29.482010400000004</v>
      </c>
    </row>
    <row r="92" spans="1:10" s="30" customFormat="1" ht="17.25" customHeight="1">
      <c r="A92" s="476" t="s">
        <v>117</v>
      </c>
      <c r="B92" s="477">
        <v>85.44140380017501</v>
      </c>
      <c r="C92" s="477">
        <v>16.917000000000002</v>
      </c>
      <c r="D92" s="477">
        <v>85.371589999999998</v>
      </c>
      <c r="E92" s="477">
        <v>59.8</v>
      </c>
      <c r="F92" s="477">
        <v>-1.9151014800999999</v>
      </c>
      <c r="G92" s="477">
        <v>0</v>
      </c>
      <c r="H92" s="473">
        <f t="shared" si="0"/>
        <v>187.72999380017501</v>
      </c>
      <c r="I92" s="494">
        <v>245.61489232007503</v>
      </c>
    </row>
    <row r="93" spans="1:10" s="30" customFormat="1" ht="17.25" customHeight="1">
      <c r="A93" s="476" t="s">
        <v>118</v>
      </c>
      <c r="B93" s="477">
        <v>-16.604925000000005</v>
      </c>
      <c r="C93" s="477">
        <v>13.27525737</v>
      </c>
      <c r="D93" s="477">
        <v>-37.000012499999997</v>
      </c>
      <c r="E93" s="477">
        <v>11.303683919999996</v>
      </c>
      <c r="F93" s="477">
        <v>5.4230499999999999</v>
      </c>
      <c r="G93" s="477">
        <v>-23.608272060000001</v>
      </c>
      <c r="H93" s="473">
        <f t="shared" si="0"/>
        <v>-40.32968013</v>
      </c>
      <c r="I93" s="477">
        <v>-47.211218270000003</v>
      </c>
    </row>
    <row r="94" spans="1:10" s="30" customFormat="1" ht="17.25" customHeight="1">
      <c r="A94" s="476" t="s">
        <v>119</v>
      </c>
      <c r="B94" s="477">
        <v>-7.509125</v>
      </c>
      <c r="C94" s="477">
        <v>0</v>
      </c>
      <c r="D94" s="477">
        <v>0</v>
      </c>
      <c r="E94" s="477">
        <v>0</v>
      </c>
      <c r="F94" s="477">
        <v>0</v>
      </c>
      <c r="G94" s="477">
        <v>0</v>
      </c>
      <c r="H94" s="473">
        <f t="shared" si="0"/>
        <v>-7.509125</v>
      </c>
      <c r="I94" s="477">
        <v>-7.509125</v>
      </c>
    </row>
    <row r="95" spans="1:10" s="30" customFormat="1" ht="17.25" customHeight="1">
      <c r="A95" s="363" t="s">
        <v>120</v>
      </c>
      <c r="B95" s="364">
        <v>132.625</v>
      </c>
      <c r="C95" s="364">
        <v>-5.3330000000000002</v>
      </c>
      <c r="D95" s="364">
        <v>0</v>
      </c>
      <c r="E95" s="364">
        <v>0</v>
      </c>
      <c r="F95" s="364">
        <v>0</v>
      </c>
      <c r="G95" s="364">
        <v>124.02282535800001</v>
      </c>
      <c r="H95" s="473">
        <f t="shared" si="0"/>
        <v>127.292</v>
      </c>
      <c r="I95" s="364">
        <v>251.31482535800001</v>
      </c>
    </row>
    <row r="96" spans="1:10" s="30" customFormat="1" ht="17.25" customHeight="1">
      <c r="A96" s="476" t="s">
        <v>121</v>
      </c>
      <c r="B96" s="477">
        <v>0</v>
      </c>
      <c r="C96" s="477">
        <v>-5.3330000000000002</v>
      </c>
      <c r="D96" s="477">
        <v>0</v>
      </c>
      <c r="E96" s="477">
        <v>0</v>
      </c>
      <c r="F96" s="477">
        <v>0</v>
      </c>
      <c r="G96" s="477">
        <v>-5.5223446420000002</v>
      </c>
      <c r="H96" s="473">
        <f t="shared" si="0"/>
        <v>-5.3330000000000002</v>
      </c>
      <c r="I96" s="477">
        <v>-10.855344642</v>
      </c>
    </row>
    <row r="97" spans="1:11" s="30" customFormat="1" ht="17.25" customHeight="1">
      <c r="A97" s="476" t="s">
        <v>122</v>
      </c>
      <c r="B97" s="477">
        <v>0</v>
      </c>
      <c r="C97" s="477">
        <v>0</v>
      </c>
      <c r="D97" s="477">
        <v>0</v>
      </c>
      <c r="E97" s="477">
        <v>0</v>
      </c>
      <c r="F97" s="477">
        <v>0</v>
      </c>
      <c r="G97" s="477">
        <v>0</v>
      </c>
      <c r="H97" s="473">
        <f t="shared" si="0"/>
        <v>0</v>
      </c>
      <c r="I97" s="477">
        <v>0</v>
      </c>
    </row>
    <row r="98" spans="1:11" s="30" customFormat="1" ht="17.25" customHeight="1">
      <c r="A98" s="476" t="s">
        <v>123</v>
      </c>
      <c r="B98" s="477">
        <v>0</v>
      </c>
      <c r="C98" s="477">
        <v>0</v>
      </c>
      <c r="D98" s="477">
        <v>0</v>
      </c>
      <c r="E98" s="477">
        <v>0</v>
      </c>
      <c r="F98" s="477">
        <v>0</v>
      </c>
      <c r="G98" s="477">
        <v>0</v>
      </c>
      <c r="H98" s="473">
        <f t="shared" si="0"/>
        <v>0</v>
      </c>
      <c r="I98" s="477">
        <v>0</v>
      </c>
    </row>
    <row r="99" spans="1:11" s="30" customFormat="1" ht="17.25" customHeight="1">
      <c r="A99" s="476" t="s">
        <v>124</v>
      </c>
      <c r="B99" s="477">
        <v>132.625</v>
      </c>
      <c r="C99" s="477">
        <v>0</v>
      </c>
      <c r="D99" s="477">
        <v>0</v>
      </c>
      <c r="E99" s="477">
        <v>0</v>
      </c>
      <c r="F99" s="477">
        <v>0</v>
      </c>
      <c r="G99" s="477">
        <v>129.54517000000001</v>
      </c>
      <c r="H99" s="473">
        <f t="shared" si="0"/>
        <v>132.625</v>
      </c>
      <c r="I99" s="477">
        <v>262.17016999999998</v>
      </c>
    </row>
    <row r="100" spans="1:11" s="30" customFormat="1" ht="17.25" customHeight="1">
      <c r="A100" s="476" t="s">
        <v>125</v>
      </c>
      <c r="B100" s="477">
        <v>0</v>
      </c>
      <c r="C100" s="477">
        <v>0</v>
      </c>
      <c r="D100" s="477">
        <v>0</v>
      </c>
      <c r="E100" s="477">
        <v>0</v>
      </c>
      <c r="F100" s="477">
        <v>0</v>
      </c>
      <c r="G100" s="477">
        <v>0</v>
      </c>
      <c r="H100" s="473">
        <f t="shared" si="0"/>
        <v>0</v>
      </c>
      <c r="I100" s="477">
        <v>0</v>
      </c>
    </row>
    <row r="101" spans="1:11" s="58" customFormat="1" ht="17.25" customHeight="1">
      <c r="A101" s="476" t="s">
        <v>126</v>
      </c>
      <c r="B101" s="477">
        <v>109.067471567</v>
      </c>
      <c r="C101" s="477">
        <v>40.605072106999998</v>
      </c>
      <c r="D101" s="477">
        <v>66.399224477999994</v>
      </c>
      <c r="E101" s="477">
        <v>-51.125744146000002</v>
      </c>
      <c r="F101" s="477">
        <v>-64.874859227000002</v>
      </c>
      <c r="G101" s="477">
        <v>-76.938531749999996</v>
      </c>
      <c r="H101" s="473">
        <f t="shared" si="0"/>
        <v>216.071768152</v>
      </c>
      <c r="I101" s="477">
        <v>23.132633029000019</v>
      </c>
    </row>
    <row r="102" spans="1:11" s="30" customFormat="1" ht="17.25" customHeight="1">
      <c r="A102" s="491" t="s">
        <v>127</v>
      </c>
      <c r="B102" s="477">
        <v>51.349099633999998</v>
      </c>
      <c r="C102" s="477">
        <v>11.823242676</v>
      </c>
      <c r="D102" s="477">
        <v>-40.492344031000002</v>
      </c>
      <c r="E102" s="477">
        <v>26.487855374999999</v>
      </c>
      <c r="F102" s="477">
        <v>-13.645048265</v>
      </c>
      <c r="G102" s="477">
        <v>-17.086426831000001</v>
      </c>
      <c r="H102" s="473">
        <f t="shared" si="0"/>
        <v>22.679998278999996</v>
      </c>
      <c r="I102" s="477">
        <v>18.436378557999998</v>
      </c>
    </row>
    <row r="103" spans="1:11" s="59" customFormat="1" ht="17.25" customHeight="1">
      <c r="A103" s="491" t="s">
        <v>128</v>
      </c>
      <c r="B103" s="495">
        <v>60.452070935999998</v>
      </c>
      <c r="C103" s="495">
        <v>21.985195474999998</v>
      </c>
      <c r="D103" s="495">
        <v>118.821</v>
      </c>
      <c r="E103" s="495">
        <v>-57.600000000000009</v>
      </c>
      <c r="F103" s="495">
        <v>-40</v>
      </c>
      <c r="G103" s="495">
        <v>-35.153860868999999</v>
      </c>
      <c r="H103" s="473">
        <f t="shared" si="0"/>
        <v>201.25826641099999</v>
      </c>
      <c r="I103" s="475">
        <v>68.504405542000001</v>
      </c>
      <c r="J103" s="368"/>
      <c r="K103" s="368"/>
    </row>
    <row r="104" spans="1:11" s="20" customFormat="1" ht="17.25" customHeight="1">
      <c r="A104" s="491" t="s">
        <v>129</v>
      </c>
      <c r="B104" s="496">
        <v>2.7053009970000002</v>
      </c>
      <c r="C104" s="496">
        <v>2.4927818839999998</v>
      </c>
      <c r="D104" s="496">
        <v>3.9415685090000001</v>
      </c>
      <c r="E104" s="475">
        <v>0.78940047899999999</v>
      </c>
      <c r="F104" s="475">
        <v>0.81718903799999998</v>
      </c>
      <c r="G104" s="475">
        <v>2.5047559499999998</v>
      </c>
      <c r="H104" s="473">
        <f t="shared" si="0"/>
        <v>9.1396513899999992</v>
      </c>
      <c r="I104" s="475">
        <v>13.250996856999999</v>
      </c>
    </row>
    <row r="105" spans="1:11" ht="17.25" customHeight="1">
      <c r="A105" s="472" t="s">
        <v>108</v>
      </c>
      <c r="B105" s="473">
        <v>78.979506213278455</v>
      </c>
      <c r="C105" s="473">
        <v>58.573290630000002</v>
      </c>
      <c r="D105" s="473">
        <v>437.59351824804276</v>
      </c>
      <c r="E105" s="473">
        <v>74.859251925777784</v>
      </c>
      <c r="F105" s="473">
        <v>251.63041765787776</v>
      </c>
      <c r="G105" s="473">
        <v>227.84977216300001</v>
      </c>
      <c r="H105" s="473">
        <f t="shared" si="0"/>
        <v>575.14631509132118</v>
      </c>
      <c r="I105" s="473">
        <v>1129.4857568379766</v>
      </c>
    </row>
    <row r="106" spans="1:11" s="30" customFormat="1" ht="17.25" customHeight="1">
      <c r="A106" s="497" t="s">
        <v>131</v>
      </c>
      <c r="B106" s="477">
        <v>0</v>
      </c>
      <c r="C106" s="477">
        <v>0</v>
      </c>
      <c r="D106" s="477">
        <v>0</v>
      </c>
      <c r="E106" s="477">
        <v>0</v>
      </c>
      <c r="F106" s="477">
        <v>0</v>
      </c>
      <c r="G106" s="477">
        <v>0</v>
      </c>
      <c r="H106" s="473">
        <f t="shared" si="0"/>
        <v>0</v>
      </c>
      <c r="I106" s="477">
        <v>0</v>
      </c>
    </row>
    <row r="107" spans="1:11" s="30" customFormat="1" ht="17.25" customHeight="1">
      <c r="A107" s="497" t="s">
        <v>132</v>
      </c>
      <c r="B107" s="477">
        <v>37.726442449825008</v>
      </c>
      <c r="C107" s="477">
        <v>36.868702630000001</v>
      </c>
      <c r="D107" s="477">
        <v>97.461422499999998</v>
      </c>
      <c r="E107" s="477">
        <v>-18.54987612</v>
      </c>
      <c r="F107" s="477">
        <v>1.2209732801000004</v>
      </c>
      <c r="G107" s="477">
        <v>-10.990357940000001</v>
      </c>
      <c r="H107" s="473">
        <f t="shared" si="0"/>
        <v>172.05656757982501</v>
      </c>
      <c r="I107" s="477">
        <v>143.73730679992502</v>
      </c>
    </row>
    <row r="108" spans="1:11" s="62" customFormat="1" ht="17.25" customHeight="1">
      <c r="A108" s="497" t="s">
        <v>133</v>
      </c>
      <c r="B108" s="477">
        <v>40</v>
      </c>
      <c r="C108" s="477">
        <v>14.005000000000001</v>
      </c>
      <c r="D108" s="477">
        <v>0</v>
      </c>
      <c r="E108" s="477">
        <v>-29.650192199999999</v>
      </c>
      <c r="F108" s="477">
        <v>1.9851818000000001</v>
      </c>
      <c r="G108" s="477">
        <v>2</v>
      </c>
      <c r="H108" s="473">
        <f t="shared" si="0"/>
        <v>54.005000000000003</v>
      </c>
      <c r="I108" s="477">
        <v>28.339989600000003</v>
      </c>
    </row>
    <row r="109" spans="1:11" s="62" customFormat="1" ht="17.25" customHeight="1">
      <c r="A109" s="497" t="s">
        <v>134</v>
      </c>
      <c r="B109" s="477">
        <v>4.4554250000000035</v>
      </c>
      <c r="C109" s="477">
        <v>22.863702629999999</v>
      </c>
      <c r="D109" s="477">
        <v>-4.2499874999999996</v>
      </c>
      <c r="E109" s="477">
        <v>11.100316080000004</v>
      </c>
      <c r="F109" s="477">
        <v>-0.76420851990000005</v>
      </c>
      <c r="G109" s="477">
        <v>-12.990357940000001</v>
      </c>
      <c r="H109" s="473">
        <f t="shared" si="0"/>
        <v>23.069140130000005</v>
      </c>
      <c r="I109" s="477">
        <v>20.414889750100002</v>
      </c>
    </row>
    <row r="110" spans="1:11" s="27" customFormat="1" ht="17.25" customHeight="1">
      <c r="A110" s="472" t="s">
        <v>135</v>
      </c>
      <c r="B110" s="477">
        <v>-1.7381075501750003</v>
      </c>
      <c r="C110" s="477">
        <v>0</v>
      </c>
      <c r="D110" s="477">
        <v>101.71141</v>
      </c>
      <c r="E110" s="477">
        <v>0</v>
      </c>
      <c r="F110" s="477">
        <v>0</v>
      </c>
      <c r="G110" s="477">
        <v>0</v>
      </c>
      <c r="H110" s="473">
        <f t="shared" ref="H110:H122" si="1">+B110+C110+D110</f>
        <v>99.973302449824999</v>
      </c>
      <c r="I110" s="477">
        <v>99.973302449824999</v>
      </c>
    </row>
    <row r="111" spans="1:11" s="38" customFormat="1" ht="17.25" customHeight="1">
      <c r="A111" s="472" t="s">
        <v>136</v>
      </c>
      <c r="B111" s="477">
        <v>0</v>
      </c>
      <c r="C111" s="477">
        <v>0</v>
      </c>
      <c r="D111" s="477">
        <v>0</v>
      </c>
      <c r="E111" s="477">
        <v>0</v>
      </c>
      <c r="F111" s="477">
        <v>0</v>
      </c>
      <c r="G111" s="477">
        <v>0</v>
      </c>
      <c r="H111" s="473">
        <f t="shared" si="1"/>
        <v>0</v>
      </c>
      <c r="I111" s="477">
        <v>0</v>
      </c>
    </row>
    <row r="112" spans="1:11" s="38" customFormat="1" ht="17.25" customHeight="1">
      <c r="A112" s="472" t="s">
        <v>137</v>
      </c>
      <c r="B112" s="477">
        <v>-4.990875</v>
      </c>
      <c r="C112" s="477">
        <v>0</v>
      </c>
      <c r="D112" s="477">
        <v>0</v>
      </c>
      <c r="E112" s="477">
        <v>0</v>
      </c>
      <c r="F112" s="477">
        <v>0</v>
      </c>
      <c r="G112" s="477">
        <v>0</v>
      </c>
      <c r="H112" s="473">
        <f t="shared" si="1"/>
        <v>-4.990875</v>
      </c>
      <c r="I112" s="477">
        <v>-4.990875</v>
      </c>
    </row>
    <row r="113" spans="1:11" s="30" customFormat="1" ht="17.25" customHeight="1">
      <c r="A113" s="472" t="s">
        <v>138</v>
      </c>
      <c r="B113" s="477">
        <v>41.253063763453447</v>
      </c>
      <c r="C113" s="477">
        <v>21.704588000000001</v>
      </c>
      <c r="D113" s="477">
        <v>340.13209574804279</v>
      </c>
      <c r="E113" s="477">
        <v>93.409128045777777</v>
      </c>
      <c r="F113" s="477">
        <v>250.40944437777776</v>
      </c>
      <c r="G113" s="477">
        <v>238.84013010300001</v>
      </c>
      <c r="H113" s="473">
        <f t="shared" si="1"/>
        <v>403.08974751149623</v>
      </c>
      <c r="I113" s="477">
        <v>985.74845003805171</v>
      </c>
      <c r="J113" s="339"/>
    </row>
    <row r="114" spans="1:11" s="27" customFormat="1" ht="17.25" customHeight="1">
      <c r="A114" s="476" t="s">
        <v>139</v>
      </c>
      <c r="B114" s="477">
        <v>55.335999999999999</v>
      </c>
      <c r="C114" s="477">
        <v>0</v>
      </c>
      <c r="D114" s="477">
        <v>0</v>
      </c>
      <c r="E114" s="477">
        <v>41.410440891999997</v>
      </c>
      <c r="F114" s="477">
        <v>17.48</v>
      </c>
      <c r="G114" s="477">
        <v>205.429261698</v>
      </c>
      <c r="H114" s="473">
        <f t="shared" si="1"/>
        <v>55.335999999999999</v>
      </c>
      <c r="I114" s="477">
        <v>319.65570259000003</v>
      </c>
    </row>
    <row r="115" spans="1:11" s="27" customFormat="1" ht="17.25" customHeight="1">
      <c r="A115" s="476" t="s">
        <v>140</v>
      </c>
      <c r="B115" s="477">
        <v>36.299999999999997</v>
      </c>
      <c r="C115" s="477">
        <v>36.299999999999997</v>
      </c>
      <c r="D115" s="477">
        <v>58.1</v>
      </c>
      <c r="E115" s="477">
        <v>33.87777777777778</v>
      </c>
      <c r="F115" s="477">
        <v>33.87777777777778</v>
      </c>
      <c r="G115" s="477">
        <v>22</v>
      </c>
      <c r="H115" s="473">
        <f t="shared" si="1"/>
        <v>130.69999999999999</v>
      </c>
      <c r="I115" s="483">
        <v>220.45555555555558</v>
      </c>
      <c r="J115" s="370"/>
      <c r="K115" s="370"/>
    </row>
    <row r="116" spans="1:11" s="27" customFormat="1" ht="17.25" customHeight="1">
      <c r="A116" s="476" t="s">
        <v>141</v>
      </c>
      <c r="B116" s="477">
        <v>0</v>
      </c>
      <c r="C116" s="477">
        <v>0</v>
      </c>
      <c r="D116" s="477">
        <v>252.42099999999999</v>
      </c>
      <c r="E116" s="477">
        <v>0</v>
      </c>
      <c r="F116" s="477">
        <v>37.171500000000002</v>
      </c>
      <c r="G116" s="477">
        <v>37.700000000000003</v>
      </c>
      <c r="H116" s="473">
        <f t="shared" si="1"/>
        <v>252.42099999999999</v>
      </c>
      <c r="I116" s="477">
        <v>327.29249999999996</v>
      </c>
    </row>
    <row r="117" spans="1:11" s="27" customFormat="1" ht="17.25" customHeight="1">
      <c r="A117" s="476" t="s">
        <v>142</v>
      </c>
      <c r="B117" s="477">
        <v>0</v>
      </c>
      <c r="C117" s="477">
        <v>0</v>
      </c>
      <c r="D117" s="477">
        <v>68.078999999999994</v>
      </c>
      <c r="E117" s="498">
        <v>113.459570376</v>
      </c>
      <c r="F117" s="477">
        <v>181.7393916</v>
      </c>
      <c r="G117" s="477">
        <v>11.556978405000001</v>
      </c>
      <c r="H117" s="473">
        <f t="shared" si="1"/>
        <v>68.078999999999994</v>
      </c>
      <c r="I117" s="477">
        <v>374.83494038100002</v>
      </c>
    </row>
    <row r="118" spans="1:11" s="27" customFormat="1" ht="17.25" customHeight="1">
      <c r="A118" s="476" t="s">
        <v>143</v>
      </c>
      <c r="B118" s="477">
        <v>-50.382936236546556</v>
      </c>
      <c r="C118" s="477">
        <v>-14.595412</v>
      </c>
      <c r="D118" s="477">
        <v>-38.467904251957258</v>
      </c>
      <c r="E118" s="477">
        <v>-95.338661000000002</v>
      </c>
      <c r="F118" s="477">
        <v>-19.859224999999999</v>
      </c>
      <c r="G118" s="477">
        <v>-37.846110000000003</v>
      </c>
      <c r="H118" s="473">
        <f t="shared" si="1"/>
        <v>-103.4462524885038</v>
      </c>
      <c r="I118" s="477">
        <v>-256.49024848850382</v>
      </c>
    </row>
    <row r="119" spans="1:11" s="38" customFormat="1" ht="17.25" customHeight="1">
      <c r="A119" s="476" t="s">
        <v>144</v>
      </c>
      <c r="B119" s="477">
        <v>0</v>
      </c>
      <c r="C119" s="477">
        <v>0</v>
      </c>
      <c r="D119" s="477">
        <v>0</v>
      </c>
      <c r="E119" s="477">
        <v>0</v>
      </c>
      <c r="F119" s="477">
        <v>0</v>
      </c>
      <c r="G119" s="477">
        <v>0</v>
      </c>
      <c r="H119" s="473">
        <f t="shared" si="1"/>
        <v>0</v>
      </c>
      <c r="I119" s="477">
        <v>0</v>
      </c>
    </row>
    <row r="120" spans="1:11" s="38" customFormat="1" ht="17.25" customHeight="1">
      <c r="A120" s="476" t="s">
        <v>145</v>
      </c>
      <c r="B120" s="477">
        <v>0</v>
      </c>
      <c r="C120" s="477">
        <v>0</v>
      </c>
      <c r="D120" s="477">
        <v>0</v>
      </c>
      <c r="E120" s="477">
        <v>0</v>
      </c>
      <c r="F120" s="477">
        <v>0</v>
      </c>
      <c r="G120" s="477">
        <v>0</v>
      </c>
      <c r="H120" s="473">
        <f t="shared" si="1"/>
        <v>0</v>
      </c>
      <c r="I120" s="477">
        <v>0</v>
      </c>
    </row>
    <row r="121" spans="1:11" s="30" customFormat="1" ht="17.25" customHeight="1">
      <c r="A121" s="497" t="s">
        <v>146</v>
      </c>
      <c r="B121" s="477">
        <v>0</v>
      </c>
      <c r="C121" s="477">
        <v>0</v>
      </c>
      <c r="D121" s="477">
        <v>0</v>
      </c>
      <c r="E121" s="477">
        <v>0</v>
      </c>
      <c r="F121" s="477">
        <v>0</v>
      </c>
      <c r="G121" s="477">
        <v>0</v>
      </c>
      <c r="H121" s="473">
        <f t="shared" si="1"/>
        <v>0</v>
      </c>
      <c r="I121" s="477">
        <v>0</v>
      </c>
    </row>
    <row r="122" spans="1:11" ht="17.25" customHeight="1">
      <c r="A122" s="499"/>
      <c r="B122" s="471">
        <f>B72-B74+B87</f>
        <v>2.523019986180941</v>
      </c>
      <c r="C122" s="471">
        <f t="shared" ref="C122:G122" si="2">C72-C74+C87</f>
        <v>-0.28559082999993279</v>
      </c>
      <c r="D122" s="471">
        <f t="shared" si="2"/>
        <v>7.6589583717804999E-2</v>
      </c>
      <c r="E122" s="471">
        <f t="shared" si="2"/>
        <v>0.99765392200001202</v>
      </c>
      <c r="F122" s="471">
        <f t="shared" si="2"/>
        <v>0.37007598781650586</v>
      </c>
      <c r="G122" s="471">
        <f t="shared" si="2"/>
        <v>9.7753855999940242E-2</v>
      </c>
      <c r="H122" s="473">
        <f t="shared" si="1"/>
        <v>2.3140187398988132</v>
      </c>
      <c r="I122" s="471">
        <f>I72-I74+I87</f>
        <v>3.7795025057155271</v>
      </c>
    </row>
    <row r="123" spans="1:11" ht="12" customHeight="1">
      <c r="A123" s="64"/>
      <c r="B123" s="372"/>
      <c r="C123" s="372"/>
      <c r="D123" s="372"/>
      <c r="E123" s="372"/>
      <c r="F123" s="372"/>
      <c r="G123" s="372"/>
      <c r="H123" s="372"/>
    </row>
    <row r="124" spans="1:11">
      <c r="A124" s="64"/>
      <c r="B124" s="374"/>
      <c r="C124" s="374"/>
      <c r="D124" s="374"/>
      <c r="E124" s="374"/>
      <c r="F124" s="374"/>
      <c r="G124" s="374" t="s">
        <v>681</v>
      </c>
      <c r="H124" s="374"/>
      <c r="I124" s="9"/>
    </row>
    <row r="125" spans="1:11" ht="10.5" customHeight="1">
      <c r="A125" s="64"/>
      <c r="B125" s="375"/>
      <c r="C125" s="375"/>
      <c r="D125" s="375"/>
      <c r="E125" s="375"/>
      <c r="F125" s="375"/>
      <c r="G125" s="375"/>
      <c r="H125" s="375"/>
    </row>
    <row r="127" spans="1:11">
      <c r="C127" s="376"/>
    </row>
    <row r="128" spans="1:11">
      <c r="C128" s="9"/>
      <c r="D128" s="9"/>
    </row>
    <row r="129" spans="3:91">
      <c r="C129" s="376"/>
    </row>
    <row r="130" spans="3:91">
      <c r="C130" s="9"/>
      <c r="F130" t="s">
        <v>682</v>
      </c>
      <c r="G130" t="s">
        <v>683</v>
      </c>
    </row>
    <row r="131" spans="3:91">
      <c r="C131" s="377"/>
    </row>
    <row r="132" spans="3:91">
      <c r="C132" s="9"/>
    </row>
    <row r="133" spans="3:91">
      <c r="C133" s="9"/>
      <c r="CM133" t="s">
        <v>697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7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CJ128"/>
  <sheetViews>
    <sheetView topLeftCell="A4" zoomScale="90" zoomScaleNormal="90" zoomScaleSheetLayoutView="90" zoomScalePageLayoutView="117" workbookViewId="0">
      <pane xSplit="2" ySplit="3" topLeftCell="E55" activePane="bottomRight" state="frozen"/>
      <selection activeCell="A4" sqref="A4"/>
      <selection pane="topRight" activeCell="C4" sqref="C4"/>
      <selection pane="bottomLeft" activeCell="A6" sqref="A6"/>
      <selection pane="bottomRight" activeCell="B48" sqref="B48"/>
    </sheetView>
  </sheetViews>
  <sheetFormatPr baseColWidth="10" defaultColWidth="9.33203125" defaultRowHeight="13"/>
  <cols>
    <col min="1" max="1" width="6.5" customWidth="1"/>
    <col min="2" max="2" width="52.33203125" customWidth="1"/>
    <col min="3" max="4" width="17.5" hidden="1" customWidth="1"/>
    <col min="5" max="5" width="17.5" customWidth="1"/>
    <col min="6" max="6" width="14.5" customWidth="1"/>
    <col min="7" max="7" width="13.1640625" bestFit="1" customWidth="1"/>
    <col min="8" max="8" width="11.83203125" bestFit="1" customWidth="1"/>
    <col min="9" max="9" width="23.5" bestFit="1" customWidth="1"/>
    <col min="10" max="41" width="11.33203125" customWidth="1"/>
  </cols>
  <sheetData>
    <row r="1" spans="1:88" ht="19.5" customHeight="1">
      <c r="A1" s="1" t="s">
        <v>0</v>
      </c>
      <c r="B1" s="2"/>
      <c r="C1" s="326"/>
      <c r="D1" s="326"/>
      <c r="E1" s="326"/>
      <c r="F1" s="3"/>
    </row>
    <row r="2" spans="1:88" ht="19.5" customHeight="1">
      <c r="A2" s="1" t="s">
        <v>1</v>
      </c>
      <c r="B2" s="2"/>
      <c r="C2" s="4"/>
      <c r="D2" s="327"/>
      <c r="E2" s="4"/>
      <c r="F2" s="4"/>
    </row>
    <row r="3" spans="1:88" ht="30.75" customHeight="1">
      <c r="A3" s="5" t="s">
        <v>2</v>
      </c>
      <c r="B3" s="514" t="s">
        <v>3</v>
      </c>
      <c r="C3" s="507"/>
      <c r="D3" s="507"/>
      <c r="E3" s="507"/>
      <c r="F3" s="508"/>
      <c r="CJ3" t="e">
        <f>CI3/CH3-1</f>
        <v>#DIV/0!</v>
      </c>
    </row>
    <row r="4" spans="1:88" ht="30.75" customHeight="1">
      <c r="A4" s="5"/>
      <c r="B4" s="393"/>
      <c r="C4" s="391"/>
      <c r="D4" s="391"/>
      <c r="E4" s="391"/>
      <c r="F4" s="392"/>
    </row>
    <row r="5" spans="1:88" ht="17">
      <c r="A5" s="509"/>
      <c r="B5" s="510"/>
      <c r="C5" s="328" t="s">
        <v>730</v>
      </c>
      <c r="D5" s="328" t="s">
        <v>729</v>
      </c>
      <c r="E5" s="328" t="s">
        <v>728</v>
      </c>
      <c r="F5" s="328" t="s">
        <v>727</v>
      </c>
      <c r="G5" s="328" t="s">
        <v>731</v>
      </c>
      <c r="H5" s="328" t="s">
        <v>732</v>
      </c>
    </row>
    <row r="6" spans="1:88" ht="16">
      <c r="A6" s="7"/>
      <c r="B6" s="8" t="s">
        <v>5</v>
      </c>
      <c r="C6" s="329"/>
      <c r="D6" s="329"/>
      <c r="E6" s="329"/>
      <c r="F6" s="329"/>
      <c r="G6" s="329"/>
      <c r="H6" s="329"/>
    </row>
    <row r="7" spans="1:88" s="12" customFormat="1" ht="24.75" customHeight="1">
      <c r="A7" s="7" t="s">
        <v>6</v>
      </c>
      <c r="B7" s="10" t="s">
        <v>677</v>
      </c>
      <c r="C7" s="11">
        <v>789.8205139257434</v>
      </c>
      <c r="D7" s="11">
        <v>1837.2575229103379</v>
      </c>
      <c r="E7" s="11">
        <v>2754.5522771962046</v>
      </c>
      <c r="F7" s="11">
        <v>3907.8361800990619</v>
      </c>
      <c r="G7" s="11">
        <v>803.8887624112831</v>
      </c>
      <c r="H7" s="11">
        <v>1896.2515297692335</v>
      </c>
      <c r="I7" s="9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</row>
    <row r="8" spans="1:88" ht="24.75" customHeight="1">
      <c r="A8" s="13" t="s">
        <v>8</v>
      </c>
      <c r="B8" s="14" t="s">
        <v>9</v>
      </c>
      <c r="C8" s="15">
        <v>707.34625037190995</v>
      </c>
      <c r="D8" s="15">
        <v>1670.0900880309102</v>
      </c>
      <c r="E8" s="15">
        <v>2500.0825560821099</v>
      </c>
      <c r="F8" s="15">
        <v>3509.8809630063006</v>
      </c>
      <c r="G8" s="15">
        <v>736.04295568894975</v>
      </c>
      <c r="H8" s="15">
        <v>1789.9179458559001</v>
      </c>
    </row>
    <row r="9" spans="1:88" s="20" customFormat="1" ht="24.75" customHeight="1">
      <c r="A9" s="17" t="s">
        <v>10</v>
      </c>
      <c r="B9" s="18" t="s">
        <v>11</v>
      </c>
      <c r="C9" s="19">
        <v>258.76935377365999</v>
      </c>
      <c r="D9" s="19">
        <v>660.03847191965997</v>
      </c>
      <c r="E9" s="19">
        <v>869.05439219165999</v>
      </c>
      <c r="F9" s="19">
        <v>1152.29392444166</v>
      </c>
      <c r="G9" s="19">
        <v>260.58571981799997</v>
      </c>
      <c r="H9" s="19">
        <v>736.2342108009999</v>
      </c>
    </row>
    <row r="10" spans="1:88" s="24" customFormat="1" ht="24.75" customHeight="1">
      <c r="A10" s="21"/>
      <c r="B10" s="22" t="s">
        <v>12</v>
      </c>
      <c r="C10" s="23">
        <v>131.21665566599998</v>
      </c>
      <c r="D10" s="23">
        <v>389.782848973</v>
      </c>
      <c r="E10" s="23">
        <v>458.36780675400001</v>
      </c>
      <c r="F10" s="23">
        <v>508.97654639899997</v>
      </c>
      <c r="G10" s="23">
        <v>140.93026909299999</v>
      </c>
      <c r="H10" s="23">
        <v>456.94982524299996</v>
      </c>
    </row>
    <row r="11" spans="1:88" s="24" customFormat="1" ht="24.75" customHeight="1">
      <c r="A11" s="21"/>
      <c r="B11" s="22" t="s">
        <v>13</v>
      </c>
      <c r="C11" s="23">
        <v>126.04446852866002</v>
      </c>
      <c r="D11" s="23">
        <v>266.26703538366002</v>
      </c>
      <c r="E11" s="23">
        <v>404.11425737766001</v>
      </c>
      <c r="F11" s="23">
        <v>633.12783398566</v>
      </c>
      <c r="G11" s="23">
        <v>119.620186218</v>
      </c>
      <c r="H11" s="23">
        <v>275.360245072</v>
      </c>
    </row>
    <row r="12" spans="1:88" ht="24.75" customHeight="1">
      <c r="A12" s="13"/>
      <c r="B12" s="22" t="s">
        <v>14</v>
      </c>
      <c r="C12" s="23">
        <v>10.993595392</v>
      </c>
      <c r="D12" s="23">
        <v>21.734694804</v>
      </c>
      <c r="E12" s="23">
        <v>33.847924863000003</v>
      </c>
      <c r="F12" s="23">
        <v>45.527687831000009</v>
      </c>
      <c r="G12" s="23">
        <v>12.709974194000001</v>
      </c>
      <c r="H12" s="23">
        <v>25.112058681000001</v>
      </c>
    </row>
    <row r="13" spans="1:88" s="20" customFormat="1" ht="24.75" customHeight="1">
      <c r="A13" s="17" t="s">
        <v>15</v>
      </c>
      <c r="B13" s="18" t="s">
        <v>16</v>
      </c>
      <c r="C13" s="19">
        <v>10.797549994000001</v>
      </c>
      <c r="D13" s="19">
        <v>21.220544160999999</v>
      </c>
      <c r="E13" s="19">
        <v>31.231909740000003</v>
      </c>
      <c r="F13" s="19">
        <v>41.193873606000004</v>
      </c>
      <c r="G13" s="19">
        <v>10.656928555999999</v>
      </c>
      <c r="H13" s="19">
        <v>22.026307235999997</v>
      </c>
    </row>
    <row r="14" spans="1:88" s="20" customFormat="1" ht="24.75" customHeight="1">
      <c r="A14" s="17"/>
      <c r="B14" s="336" t="s">
        <v>678</v>
      </c>
      <c r="C14" s="19">
        <v>1.8297504739999999</v>
      </c>
      <c r="D14" s="19">
        <v>3.4427518269999995</v>
      </c>
      <c r="E14" s="19">
        <v>4.8673906159999998</v>
      </c>
      <c r="F14" s="19">
        <v>6.0521315279999994</v>
      </c>
      <c r="G14" s="19">
        <v>0.36475628399999999</v>
      </c>
      <c r="H14" s="19">
        <v>0.52773425394999995</v>
      </c>
    </row>
    <row r="15" spans="1:88" s="20" customFormat="1" ht="24.75" customHeight="1">
      <c r="A15" s="17" t="s">
        <v>17</v>
      </c>
      <c r="B15" s="18" t="s">
        <v>18</v>
      </c>
      <c r="C15" s="19">
        <v>9.4660681039999997</v>
      </c>
      <c r="D15" s="19">
        <v>41.958306647000001</v>
      </c>
      <c r="E15" s="19">
        <v>51.995184716999994</v>
      </c>
      <c r="F15" s="19">
        <v>65.127727252999989</v>
      </c>
      <c r="G15" s="19">
        <v>8.5738648669999993</v>
      </c>
      <c r="H15" s="19">
        <v>40.863100599999996</v>
      </c>
    </row>
    <row r="16" spans="1:88" s="20" customFormat="1" ht="24.75" customHeight="1">
      <c r="A16" s="17" t="s">
        <v>19</v>
      </c>
      <c r="B16" s="18" t="s">
        <v>20</v>
      </c>
      <c r="C16" s="19">
        <v>314.44172380425005</v>
      </c>
      <c r="D16" s="19">
        <v>718.59369265025009</v>
      </c>
      <c r="E16" s="19">
        <v>1186.7610374180281</v>
      </c>
      <c r="F16" s="19">
        <v>1730.8948519315882</v>
      </c>
      <c r="G16" s="19">
        <v>341.15071195794997</v>
      </c>
      <c r="H16" s="19">
        <v>751.0060910668999</v>
      </c>
      <c r="I16" s="337"/>
      <c r="J16" s="337"/>
    </row>
    <row r="17" spans="1:8" s="27" customFormat="1" ht="24.75" customHeight="1">
      <c r="A17" s="25"/>
      <c r="B17" s="26" t="s">
        <v>21</v>
      </c>
      <c r="C17" s="23">
        <v>78.730018881999996</v>
      </c>
      <c r="D17" s="23">
        <v>194.07933628999999</v>
      </c>
      <c r="E17" s="23">
        <v>310.84734634799997</v>
      </c>
      <c r="F17" s="23">
        <v>470.98921861699989</v>
      </c>
      <c r="G17" s="23">
        <v>95.786180287999997</v>
      </c>
      <c r="H17" s="23">
        <v>202.40018016800002</v>
      </c>
    </row>
    <row r="18" spans="1:8" s="30" customFormat="1" ht="24.75" hidden="1" customHeight="1">
      <c r="A18" s="28"/>
      <c r="B18" s="29" t="s">
        <v>22</v>
      </c>
      <c r="C18" s="23">
        <v>0</v>
      </c>
      <c r="D18" s="23">
        <v>0</v>
      </c>
      <c r="E18" s="23">
        <v>0</v>
      </c>
      <c r="F18" s="23">
        <v>0</v>
      </c>
      <c r="G18" s="23"/>
      <c r="H18" s="23"/>
    </row>
    <row r="19" spans="1:8" s="30" customFormat="1" ht="24.75" customHeight="1">
      <c r="A19" s="28"/>
      <c r="B19" s="26" t="s">
        <v>23</v>
      </c>
      <c r="C19" s="23">
        <v>132.397673094</v>
      </c>
      <c r="D19" s="23">
        <v>287.37029222199999</v>
      </c>
      <c r="E19" s="23">
        <v>489.13381681857811</v>
      </c>
      <c r="F19" s="23">
        <v>706.33380714128805</v>
      </c>
      <c r="G19" s="23">
        <v>142.28781525799999</v>
      </c>
      <c r="H19" s="23">
        <v>304.04317464500002</v>
      </c>
    </row>
    <row r="20" spans="1:8" s="30" customFormat="1" ht="24.75" hidden="1" customHeight="1">
      <c r="A20" s="28"/>
      <c r="B20" s="29" t="s">
        <v>24</v>
      </c>
      <c r="C20" s="23">
        <v>0</v>
      </c>
      <c r="D20" s="23">
        <v>0</v>
      </c>
      <c r="E20" s="23">
        <v>0</v>
      </c>
      <c r="F20" s="23">
        <v>0</v>
      </c>
      <c r="G20" s="23"/>
      <c r="H20" s="23"/>
    </row>
    <row r="21" spans="1:8" s="30" customFormat="1" ht="24.75" customHeight="1">
      <c r="A21" s="28"/>
      <c r="B21" s="29" t="s">
        <v>25</v>
      </c>
      <c r="C21" s="23">
        <v>11.894230032000001</v>
      </c>
      <c r="D21" s="23">
        <v>24.039242178000002</v>
      </c>
      <c r="E21" s="23">
        <v>40.700758805999996</v>
      </c>
      <c r="F21" s="23">
        <v>52.535443720999993</v>
      </c>
      <c r="G21" s="23">
        <v>16.398421955</v>
      </c>
      <c r="H21" s="23">
        <v>26.364082265</v>
      </c>
    </row>
    <row r="22" spans="1:8" s="30" customFormat="1" ht="24.75" customHeight="1">
      <c r="A22" s="28"/>
      <c r="B22" s="29" t="s">
        <v>691</v>
      </c>
      <c r="C22" s="23">
        <v>15.864897548199998</v>
      </c>
      <c r="D22" s="23">
        <v>31.994246357949997</v>
      </c>
      <c r="E22" s="23">
        <v>50.236796566449996</v>
      </c>
      <c r="F22" s="23">
        <v>63.810378860349992</v>
      </c>
      <c r="G22" s="23">
        <v>16.260483796349998</v>
      </c>
      <c r="H22" s="23">
        <v>32.861361709850001</v>
      </c>
    </row>
    <row r="23" spans="1:8" s="20" customFormat="1" ht="27.75" customHeight="1">
      <c r="A23" s="17" t="s">
        <v>26</v>
      </c>
      <c r="B23" s="32" t="s">
        <v>27</v>
      </c>
      <c r="C23" s="19">
        <v>102.782110219</v>
      </c>
      <c r="D23" s="19">
        <v>206.45176062600001</v>
      </c>
      <c r="E23" s="19">
        <v>326.47138907442189</v>
      </c>
      <c r="F23" s="19">
        <v>470.35962771105193</v>
      </c>
      <c r="G23" s="19">
        <v>98.635301633000012</v>
      </c>
      <c r="H23" s="19">
        <v>211.59785196800001</v>
      </c>
    </row>
    <row r="24" spans="1:8" s="20" customFormat="1" ht="24.75" customHeight="1">
      <c r="A24" s="17"/>
      <c r="B24" s="18" t="s">
        <v>679</v>
      </c>
      <c r="C24" s="19">
        <v>10.192849362</v>
      </c>
      <c r="D24" s="19">
        <v>20.365773369999999</v>
      </c>
      <c r="E24" s="19">
        <v>29.722921395</v>
      </c>
      <c r="F24" s="19">
        <v>40.993983888999999</v>
      </c>
      <c r="G24" s="19">
        <v>9.1194003079999995</v>
      </c>
      <c r="H24" s="19">
        <v>19.732419089999997</v>
      </c>
    </row>
    <row r="25" spans="1:8" s="27" customFormat="1" ht="24.75" hidden="1" customHeight="1">
      <c r="A25" s="25"/>
      <c r="B25" s="26" t="s">
        <v>28</v>
      </c>
      <c r="C25" s="23">
        <v>0</v>
      </c>
      <c r="D25" s="23">
        <v>0</v>
      </c>
      <c r="E25" s="23">
        <v>0</v>
      </c>
      <c r="F25" s="23"/>
      <c r="G25" s="23"/>
      <c r="H25" s="23"/>
    </row>
    <row r="26" spans="1:8" ht="24.75" customHeight="1">
      <c r="A26" s="13" t="s">
        <v>29</v>
      </c>
      <c r="B26" s="33" t="s">
        <v>30</v>
      </c>
      <c r="C26" s="15">
        <v>11.089444477000001</v>
      </c>
      <c r="D26" s="15">
        <v>21.827312027000001</v>
      </c>
      <c r="E26" s="15">
        <v>34.568642941</v>
      </c>
      <c r="F26" s="15">
        <v>50.010958062999997</v>
      </c>
      <c r="G26" s="15">
        <v>16.440428857000001</v>
      </c>
      <c r="H26" s="15">
        <v>28.190384183999999</v>
      </c>
    </row>
    <row r="27" spans="1:8" s="20" customFormat="1" ht="24.75" customHeight="1">
      <c r="A27" s="17" t="s">
        <v>31</v>
      </c>
      <c r="B27" s="34" t="s">
        <v>32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8" s="20" customFormat="1" ht="24.75" customHeight="1">
      <c r="A28" s="17" t="s">
        <v>33</v>
      </c>
      <c r="B28" s="34" t="s">
        <v>34</v>
      </c>
      <c r="C28" s="19">
        <v>31.556000000000001</v>
      </c>
      <c r="D28" s="19">
        <v>79.686221464777788</v>
      </c>
      <c r="E28" s="19">
        <v>119.04622146544449</v>
      </c>
      <c r="F28" s="19">
        <v>188.58820429111117</v>
      </c>
      <c r="G28" s="19">
        <v>28.058649999333333</v>
      </c>
      <c r="H28" s="19">
        <v>41.409283331333334</v>
      </c>
    </row>
    <row r="29" spans="1:8" ht="24.75" customHeight="1">
      <c r="A29" s="13"/>
      <c r="B29" s="14" t="s">
        <v>35</v>
      </c>
      <c r="C29" s="15">
        <v>4.3559999999999999</v>
      </c>
      <c r="D29" s="15">
        <v>16.386221464999998</v>
      </c>
      <c r="E29" s="15">
        <v>22.946221464999997</v>
      </c>
      <c r="F29" s="15">
        <v>74.569617364999999</v>
      </c>
      <c r="G29" s="15">
        <v>0</v>
      </c>
      <c r="H29" s="15">
        <v>0</v>
      </c>
    </row>
    <row r="30" spans="1:8" ht="24.75" customHeight="1">
      <c r="A30" s="13"/>
      <c r="B30" s="14" t="s">
        <v>36</v>
      </c>
      <c r="C30" s="15">
        <v>27.2</v>
      </c>
      <c r="D30" s="15">
        <v>63.299999999777789</v>
      </c>
      <c r="E30" s="15">
        <v>96.100000000444481</v>
      </c>
      <c r="F30" s="15">
        <v>114.01858692611117</v>
      </c>
      <c r="G30" s="15">
        <v>28.058649999333333</v>
      </c>
      <c r="H30" s="15">
        <v>41.409283331333334</v>
      </c>
    </row>
    <row r="31" spans="1:8" s="20" customFormat="1" ht="24.75" customHeight="1">
      <c r="A31" s="17" t="s">
        <v>37</v>
      </c>
      <c r="B31" s="34" t="s">
        <v>38</v>
      </c>
      <c r="C31" s="19">
        <v>50.918263553833334</v>
      </c>
      <c r="D31" s="19">
        <v>87.48121341465</v>
      </c>
      <c r="E31" s="19">
        <v>135.42349964864999</v>
      </c>
      <c r="F31" s="19">
        <v>209.36701280164999</v>
      </c>
      <c r="G31" s="19">
        <v>39.787156722999995</v>
      </c>
      <c r="H31" s="19">
        <v>64.924300581999987</v>
      </c>
    </row>
    <row r="32" spans="1:8" s="27" customFormat="1" ht="24.75" customHeight="1">
      <c r="A32" s="25"/>
      <c r="B32" s="22" t="s">
        <v>39</v>
      </c>
      <c r="C32" s="23">
        <v>17.776358233</v>
      </c>
      <c r="D32" s="23">
        <v>30.916357474999998</v>
      </c>
      <c r="E32" s="23">
        <v>65.370757631999993</v>
      </c>
      <c r="F32" s="23">
        <v>69.224757631999992</v>
      </c>
      <c r="G32" s="23">
        <v>5.9999995999999998</v>
      </c>
      <c r="H32" s="23">
        <v>13.786999311999999</v>
      </c>
    </row>
    <row r="33" spans="1:72" s="27" customFormat="1" ht="24.75" customHeight="1">
      <c r="A33" s="25"/>
      <c r="B33" s="22" t="s">
        <v>40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1:72" s="27" customFormat="1" ht="24.75" customHeight="1">
      <c r="A34" s="25"/>
      <c r="B34" s="22" t="s">
        <v>41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1:72" s="27" customFormat="1" ht="24.75" customHeight="1">
      <c r="A35" s="25"/>
      <c r="B35" s="22" t="s">
        <v>42</v>
      </c>
      <c r="C35" s="23">
        <v>33.141905320833331</v>
      </c>
      <c r="D35" s="23">
        <v>56.564855939649995</v>
      </c>
      <c r="E35" s="23">
        <v>70.052742016649987</v>
      </c>
      <c r="F35" s="23">
        <v>140.14225516964999</v>
      </c>
      <c r="G35" s="23">
        <v>33.787157123</v>
      </c>
      <c r="H35" s="23">
        <v>51.137301270000002</v>
      </c>
    </row>
    <row r="36" spans="1:72" s="12" customFormat="1" ht="24.75" customHeight="1">
      <c r="A36" s="7" t="s">
        <v>43</v>
      </c>
      <c r="B36" s="10" t="s">
        <v>44</v>
      </c>
      <c r="C36" s="11">
        <v>1183.6176781783408</v>
      </c>
      <c r="D36" s="11">
        <v>2138.3678275033408</v>
      </c>
      <c r="E36" s="11">
        <v>3245.3908897539604</v>
      </c>
      <c r="F36" s="11">
        <v>4197.6958108046174</v>
      </c>
      <c r="G36" s="11">
        <v>1195.6536137584767</v>
      </c>
      <c r="H36" s="11">
        <v>2227.380455900688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spans="1:72" ht="24.75" customHeight="1">
      <c r="A37" s="13" t="s">
        <v>45</v>
      </c>
      <c r="B37" s="14" t="s">
        <v>46</v>
      </c>
      <c r="C37" s="15">
        <v>313.61206074899997</v>
      </c>
      <c r="D37" s="15">
        <v>630.22355486899994</v>
      </c>
      <c r="E37" s="15">
        <v>951.11615893299995</v>
      </c>
      <c r="F37" s="15">
        <v>1267.085374861</v>
      </c>
      <c r="G37" s="15">
        <v>355.52946707899997</v>
      </c>
      <c r="H37" s="15">
        <v>698.95647513500001</v>
      </c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</row>
    <row r="38" spans="1:72" ht="24.75" customHeight="1">
      <c r="A38" s="13" t="s">
        <v>47</v>
      </c>
      <c r="B38" s="14" t="s">
        <v>48</v>
      </c>
      <c r="C38" s="15">
        <v>92.757118907999995</v>
      </c>
      <c r="D38" s="15">
        <v>183.65229561299998</v>
      </c>
      <c r="E38" s="15">
        <v>290.00651093499994</v>
      </c>
      <c r="F38" s="15">
        <v>367.46698780699995</v>
      </c>
      <c r="G38" s="15">
        <v>79.335170008999995</v>
      </c>
      <c r="H38" s="15">
        <v>159.79632363799999</v>
      </c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40"/>
    </row>
    <row r="39" spans="1:72" s="27" customFormat="1" ht="24.75" customHeight="1">
      <c r="A39" s="25"/>
      <c r="B39" s="22" t="s">
        <v>741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</row>
    <row r="40" spans="1:72" s="27" customFormat="1" ht="24.75" customHeight="1">
      <c r="A40" s="25"/>
      <c r="B40" s="22" t="s">
        <v>50</v>
      </c>
      <c r="C40" s="23">
        <v>0.148244296</v>
      </c>
      <c r="D40" s="23">
        <v>0.66135336499999997</v>
      </c>
      <c r="E40" s="23">
        <v>1.050285844</v>
      </c>
      <c r="F40" s="23">
        <v>2.807167116</v>
      </c>
      <c r="G40" s="23">
        <v>0.10907048</v>
      </c>
      <c r="H40" s="23">
        <v>0.26672227999999998</v>
      </c>
    </row>
    <row r="41" spans="1:72" ht="24.75" customHeight="1">
      <c r="A41" s="13" t="s">
        <v>51</v>
      </c>
      <c r="B41" s="14" t="s">
        <v>52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72" s="36" customFormat="1" ht="24.75" customHeight="1">
      <c r="A42" s="13" t="s">
        <v>53</v>
      </c>
      <c r="B42" s="14" t="s">
        <v>54</v>
      </c>
      <c r="C42" s="15">
        <v>149.90998612334073</v>
      </c>
      <c r="D42" s="15">
        <v>280.75081325734072</v>
      </c>
      <c r="E42" s="15">
        <v>407.12742052196052</v>
      </c>
      <c r="F42" s="15">
        <v>569.00297749561776</v>
      </c>
      <c r="G42" s="15">
        <v>183.51071704747645</v>
      </c>
      <c r="H42" s="15">
        <v>395.63542565268739</v>
      </c>
    </row>
    <row r="43" spans="1:72" s="38" customFormat="1" ht="24.75" customHeight="1">
      <c r="A43" s="25"/>
      <c r="B43" s="37" t="s">
        <v>55</v>
      </c>
      <c r="C43" s="15">
        <v>128.11890225256721</v>
      </c>
      <c r="D43" s="15">
        <v>241.99433085344899</v>
      </c>
      <c r="E43" s="15">
        <v>353.33601094164749</v>
      </c>
      <c r="F43" s="15">
        <v>489.89219724887312</v>
      </c>
      <c r="G43" s="15">
        <v>157.04449684545679</v>
      </c>
      <c r="H43" s="15">
        <v>343.24544885692075</v>
      </c>
    </row>
    <row r="44" spans="1:72" s="38" customFormat="1" ht="24.75" customHeight="1">
      <c r="A44" s="25"/>
      <c r="B44" s="37" t="s">
        <v>56</v>
      </c>
      <c r="C44" s="15">
        <v>21.791083870773562</v>
      </c>
      <c r="D44" s="15">
        <v>38.756482403891809</v>
      </c>
      <c r="E44" s="15">
        <v>53.7914095803131</v>
      </c>
      <c r="F44" s="15">
        <v>79.110780246744753</v>
      </c>
      <c r="G44" s="15">
        <v>26.466220202019656</v>
      </c>
      <c r="H44" s="15">
        <v>52.389976795766628</v>
      </c>
    </row>
    <row r="45" spans="1:72" ht="24.75" customHeight="1">
      <c r="A45" s="13" t="s">
        <v>57</v>
      </c>
      <c r="B45" s="14" t="s">
        <v>58</v>
      </c>
      <c r="C45" s="15">
        <v>22.030538174999997</v>
      </c>
      <c r="D45" s="15">
        <v>38.042236099999997</v>
      </c>
      <c r="E45" s="15">
        <v>62.454044216</v>
      </c>
      <c r="F45" s="15">
        <v>68.935399715999992</v>
      </c>
      <c r="G45" s="15">
        <v>10.407822101000001</v>
      </c>
      <c r="H45" s="15">
        <v>19.687066726000001</v>
      </c>
    </row>
    <row r="46" spans="1:72" s="27" customFormat="1" ht="24.75" hidden="1" customHeight="1">
      <c r="A46" s="25"/>
      <c r="B46" s="22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72" s="27" customFormat="1" ht="24.75" hidden="1" customHeight="1">
      <c r="A47" s="25"/>
      <c r="B47" s="22" t="s">
        <v>692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72" ht="24.75" customHeight="1">
      <c r="A48" s="13" t="s">
        <v>59</v>
      </c>
      <c r="B48" s="14" t="s">
        <v>34</v>
      </c>
      <c r="C48" s="15">
        <v>521.13349029599999</v>
      </c>
      <c r="D48" s="15">
        <v>850.227305194</v>
      </c>
      <c r="E48" s="15">
        <v>1338.1441993989999</v>
      </c>
      <c r="F48" s="15">
        <v>1702.1422084010001</v>
      </c>
      <c r="G48" s="15">
        <v>488.61191174999999</v>
      </c>
      <c r="H48" s="15">
        <v>856.47787187899996</v>
      </c>
    </row>
    <row r="49" spans="1:72" s="27" customFormat="1" ht="24.75" customHeight="1">
      <c r="A49" s="25"/>
      <c r="B49" s="22" t="s">
        <v>60</v>
      </c>
      <c r="C49" s="15">
        <v>365.64566373799994</v>
      </c>
      <c r="D49" s="15">
        <v>523.3227069809999</v>
      </c>
      <c r="E49" s="15">
        <v>778.15216336399988</v>
      </c>
      <c r="F49" s="15">
        <v>962.59335700899976</v>
      </c>
      <c r="G49" s="15">
        <v>338.12639376200002</v>
      </c>
      <c r="H49" s="15">
        <v>559.10254882800007</v>
      </c>
    </row>
    <row r="50" spans="1:72" s="27" customFormat="1" ht="24.75" customHeight="1">
      <c r="A50" s="25"/>
      <c r="B50" s="22" t="s">
        <v>693</v>
      </c>
      <c r="C50" s="15">
        <v>1.8297504739999999</v>
      </c>
      <c r="D50" s="15">
        <v>3.4427518269999995</v>
      </c>
      <c r="E50" s="15">
        <v>4.8673906159999998</v>
      </c>
      <c r="F50" s="15">
        <v>6.0521315279999994</v>
      </c>
      <c r="G50" s="15">
        <v>0.36475628399999999</v>
      </c>
      <c r="H50" s="15">
        <v>0.52773425394999995</v>
      </c>
    </row>
    <row r="51" spans="1:72" s="27" customFormat="1" ht="24.75" customHeight="1">
      <c r="A51" s="25"/>
      <c r="B51" s="22" t="s">
        <v>61</v>
      </c>
      <c r="C51" s="15">
        <v>155.48782655799999</v>
      </c>
      <c r="D51" s="15">
        <v>326.90459821299999</v>
      </c>
      <c r="E51" s="15">
        <v>559.99203603499996</v>
      </c>
      <c r="F51" s="15">
        <v>739.54885139199996</v>
      </c>
      <c r="G51" s="15">
        <v>150.485517988</v>
      </c>
      <c r="H51" s="15">
        <v>297.37532305100001</v>
      </c>
    </row>
    <row r="52" spans="1:72" s="27" customFormat="1" ht="24.75" customHeight="1">
      <c r="A52" s="25"/>
      <c r="B52" s="22" t="s">
        <v>694</v>
      </c>
      <c r="C52" s="15">
        <v>10.192849362</v>
      </c>
      <c r="D52" s="15">
        <v>20.365773369999999</v>
      </c>
      <c r="E52" s="15">
        <v>29.722921395</v>
      </c>
      <c r="F52" s="15">
        <v>40.993983888999999</v>
      </c>
      <c r="G52" s="15">
        <v>9.1194003079999995</v>
      </c>
      <c r="H52" s="15">
        <v>19.732419089999997</v>
      </c>
    </row>
    <row r="53" spans="1:72" s="27" customFormat="1" ht="24.75" customHeight="1">
      <c r="A53" s="25"/>
      <c r="B53" s="22" t="s">
        <v>695</v>
      </c>
      <c r="C53" s="15">
        <v>15.864897548199998</v>
      </c>
      <c r="D53" s="15">
        <v>31.994246357949997</v>
      </c>
      <c r="E53" s="15">
        <v>50.236796566449996</v>
      </c>
      <c r="F53" s="15">
        <v>63.810378860349992</v>
      </c>
      <c r="G53" s="15">
        <v>16.260483796349998</v>
      </c>
      <c r="H53" s="15">
        <v>32.861361709850001</v>
      </c>
    </row>
    <row r="54" spans="1:72" s="39" customFormat="1" ht="24.75" customHeight="1">
      <c r="A54" s="13" t="s">
        <v>62</v>
      </c>
      <c r="B54" s="14" t="s">
        <v>63</v>
      </c>
      <c r="C54" s="15">
        <v>7.128463225</v>
      </c>
      <c r="D54" s="15">
        <v>13.372411335999999</v>
      </c>
      <c r="E54" s="15">
        <v>18.099075548999998</v>
      </c>
      <c r="F54" s="15">
        <v>21.613433997999998</v>
      </c>
      <c r="G54" s="15">
        <v>8.8750114490000005</v>
      </c>
      <c r="H54" s="15">
        <v>15.430974018000001</v>
      </c>
    </row>
    <row r="55" spans="1:72" ht="24.75" customHeight="1">
      <c r="A55" s="13" t="s">
        <v>64</v>
      </c>
      <c r="B55" s="14" t="s">
        <v>65</v>
      </c>
      <c r="C55" s="15">
        <v>77.046020701999993</v>
      </c>
      <c r="D55" s="15">
        <v>142.09921113399997</v>
      </c>
      <c r="E55" s="15">
        <v>178.44348019999995</v>
      </c>
      <c r="F55" s="15">
        <v>201.44942852599996</v>
      </c>
      <c r="G55" s="15">
        <v>69.383514323</v>
      </c>
      <c r="H55" s="15">
        <v>81.396318852000007</v>
      </c>
    </row>
    <row r="56" spans="1:72" ht="24.75" customHeight="1">
      <c r="A56" s="13"/>
      <c r="B56" s="14" t="s">
        <v>66</v>
      </c>
      <c r="C56" s="15">
        <v>77.046020701999993</v>
      </c>
      <c r="D56" s="15">
        <v>142.09921113399997</v>
      </c>
      <c r="E56" s="15">
        <v>178.44348019999995</v>
      </c>
      <c r="F56" s="15">
        <v>201.44942852599996</v>
      </c>
      <c r="G56" s="15">
        <v>69.383514323</v>
      </c>
      <c r="H56" s="15">
        <v>81.396318852000007</v>
      </c>
    </row>
    <row r="57" spans="1:72" s="27" customFormat="1" ht="24.75" customHeight="1">
      <c r="A57" s="25"/>
      <c r="B57" s="22" t="s">
        <v>67</v>
      </c>
      <c r="C57" s="23">
        <v>45.197239849999995</v>
      </c>
      <c r="D57" s="23">
        <v>52.779004099999995</v>
      </c>
      <c r="E57" s="23">
        <v>81.670019600000003</v>
      </c>
      <c r="F57" s="23">
        <v>86.816590600000012</v>
      </c>
      <c r="G57" s="23">
        <v>40.727192416000001</v>
      </c>
      <c r="H57" s="23">
        <v>47.54494175</v>
      </c>
    </row>
    <row r="58" spans="1:72" s="27" customFormat="1" ht="24.75" customHeight="1">
      <c r="A58" s="25"/>
      <c r="B58" s="22" t="s">
        <v>68</v>
      </c>
      <c r="C58" s="23">
        <v>21.914337517</v>
      </c>
      <c r="D58" s="23">
        <v>74.195868058999991</v>
      </c>
      <c r="E58" s="23">
        <v>74.195868058999991</v>
      </c>
      <c r="F58" s="23">
        <v>84.70172410699999</v>
      </c>
      <c r="G58" s="23">
        <v>20.270537402999999</v>
      </c>
      <c r="H58" s="23">
        <v>20.270537402999999</v>
      </c>
    </row>
    <row r="59" spans="1:72" s="27" customFormat="1" ht="24.75" customHeight="1">
      <c r="A59" s="25"/>
      <c r="B59" s="22" t="s">
        <v>69</v>
      </c>
      <c r="C59" s="23">
        <v>0</v>
      </c>
      <c r="D59" s="23">
        <v>0.8209109</v>
      </c>
      <c r="E59" s="23">
        <v>0.8209109</v>
      </c>
      <c r="F59" s="23">
        <v>0.9178809</v>
      </c>
      <c r="G59" s="23">
        <v>0</v>
      </c>
      <c r="H59" s="23">
        <v>0.17141500000000001</v>
      </c>
    </row>
    <row r="60" spans="1:72" ht="24.75" customHeight="1">
      <c r="A60" s="13"/>
      <c r="B60" s="14" t="s">
        <v>70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L60" s="9"/>
    </row>
    <row r="61" spans="1:72" s="27" customFormat="1" ht="24.75" customHeight="1">
      <c r="A61" s="25"/>
      <c r="B61" s="22" t="s">
        <v>71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72" s="27" customFormat="1" ht="24.75" customHeight="1">
      <c r="A62" s="25"/>
      <c r="B62" s="22" t="s">
        <v>742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72" s="12" customFormat="1" ht="24.75" customHeight="1">
      <c r="A63" s="17" t="s">
        <v>73</v>
      </c>
      <c r="B63" s="40" t="s">
        <v>74</v>
      </c>
      <c r="C63" s="11">
        <v>-393.7971642525975</v>
      </c>
      <c r="D63" s="11">
        <v>-301.11030459300287</v>
      </c>
      <c r="E63" s="11">
        <v>-490.83861255775605</v>
      </c>
      <c r="F63" s="11">
        <v>-289.85963070555545</v>
      </c>
      <c r="G63" s="11">
        <v>-391.76485134719348</v>
      </c>
      <c r="H63" s="11">
        <v>-331.12892613145459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</row>
    <row r="64" spans="1:72" s="12" customFormat="1" ht="24.75" customHeight="1">
      <c r="A64" s="17" t="s">
        <v>75</v>
      </c>
      <c r="B64" s="40" t="s">
        <v>76</v>
      </c>
      <c r="C64" s="11">
        <v>-393.7971642525975</v>
      </c>
      <c r="D64" s="11">
        <v>-301.11030459300287</v>
      </c>
      <c r="E64" s="11">
        <v>-490.83861255775605</v>
      </c>
      <c r="F64" s="11">
        <v>-289.85963070555545</v>
      </c>
      <c r="G64" s="11">
        <v>-391.76485134719348</v>
      </c>
      <c r="H64" s="11">
        <v>-331.12892613145459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</row>
    <row r="65" spans="1:72" s="36" customFormat="1" ht="35.25" customHeight="1">
      <c r="A65" s="7"/>
      <c r="B65" s="8" t="s">
        <v>77</v>
      </c>
      <c r="C65" s="41"/>
      <c r="D65" s="41"/>
      <c r="E65" s="41"/>
      <c r="F65" s="41"/>
      <c r="G65" s="41"/>
      <c r="H65" s="41"/>
    </row>
    <row r="66" spans="1:72" ht="24.75" customHeight="1">
      <c r="A66" s="7" t="s">
        <v>78</v>
      </c>
      <c r="B66" s="10" t="s">
        <v>79</v>
      </c>
      <c r="C66" s="11">
        <v>161.82085296899999</v>
      </c>
      <c r="D66" s="11">
        <v>310.87297889733338</v>
      </c>
      <c r="E66" s="11">
        <v>440.94104874377786</v>
      </c>
      <c r="F66" s="11">
        <v>628.02109753944455</v>
      </c>
      <c r="G66" s="11">
        <v>165.03026689033331</v>
      </c>
      <c r="H66" s="11">
        <v>286.58125669800006</v>
      </c>
    </row>
    <row r="67" spans="1:72" ht="24.75" customHeight="1">
      <c r="A67" s="13" t="s">
        <v>80</v>
      </c>
      <c r="B67" s="14" t="s">
        <v>81</v>
      </c>
      <c r="C67" s="15">
        <v>161.82085296899999</v>
      </c>
      <c r="D67" s="15">
        <v>310.7862527973333</v>
      </c>
      <c r="E67" s="15">
        <v>439.77949314377776</v>
      </c>
      <c r="F67" s="15">
        <v>626.41575628344447</v>
      </c>
      <c r="G67" s="15">
        <v>165.0124488903333</v>
      </c>
      <c r="H67" s="15">
        <v>286.53776129799996</v>
      </c>
    </row>
    <row r="68" spans="1:72" s="27" customFormat="1" ht="24.75" customHeight="1">
      <c r="A68" s="25"/>
      <c r="B68" s="22" t="s">
        <v>82</v>
      </c>
      <c r="C68" s="23">
        <v>3.9208529689999949</v>
      </c>
      <c r="D68" s="23">
        <v>27.030697241999984</v>
      </c>
      <c r="E68" s="23">
        <v>45.346159809999989</v>
      </c>
      <c r="F68" s="23">
        <v>77.459823191999988</v>
      </c>
      <c r="G68" s="23">
        <v>7.7537988910000024</v>
      </c>
      <c r="H68" s="23">
        <v>29.911811300000011</v>
      </c>
    </row>
    <row r="69" spans="1:72" s="27" customFormat="1" ht="24.75" hidden="1" customHeight="1">
      <c r="A69" s="25"/>
      <c r="B69" s="43" t="s">
        <v>83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338"/>
    </row>
    <row r="70" spans="1:72" s="27" customFormat="1" ht="24.75" customHeight="1">
      <c r="A70" s="25"/>
      <c r="B70" s="43" t="s">
        <v>84</v>
      </c>
      <c r="C70" s="23">
        <v>157.9</v>
      </c>
      <c r="D70" s="23">
        <v>283.75555555533333</v>
      </c>
      <c r="E70" s="23">
        <v>394.43333333377774</v>
      </c>
      <c r="F70" s="23">
        <v>548.95593309144442</v>
      </c>
      <c r="G70" s="23">
        <v>157.2586499993333</v>
      </c>
      <c r="H70" s="23">
        <v>256.6259499979999</v>
      </c>
    </row>
    <row r="71" spans="1:72" ht="24.75" customHeight="1">
      <c r="A71" s="13" t="s">
        <v>85</v>
      </c>
      <c r="B71" s="14" t="s">
        <v>86</v>
      </c>
      <c r="C71" s="15">
        <v>0</v>
      </c>
      <c r="D71" s="15">
        <v>3.6831750000000003E-2</v>
      </c>
      <c r="E71" s="15">
        <v>1.11166125</v>
      </c>
      <c r="F71" s="15">
        <v>1.5554469060000002</v>
      </c>
      <c r="G71" s="15">
        <v>1.7818000000000001E-2</v>
      </c>
      <c r="H71" s="15">
        <v>3.28004E-2</v>
      </c>
    </row>
    <row r="72" spans="1:72" ht="24.75" customHeight="1">
      <c r="A72" s="13" t="s">
        <v>87</v>
      </c>
      <c r="B72" s="14" t="s">
        <v>88</v>
      </c>
      <c r="C72" s="15">
        <v>0</v>
      </c>
      <c r="D72" s="15">
        <v>4.9894349999999997E-2</v>
      </c>
      <c r="E72" s="15">
        <v>4.9894349999999997E-2</v>
      </c>
      <c r="F72" s="15">
        <v>4.9894349999999997E-2</v>
      </c>
      <c r="G72" s="15">
        <v>0</v>
      </c>
      <c r="H72" s="15">
        <v>1.0695E-2</v>
      </c>
      <c r="I72" s="9"/>
    </row>
    <row r="73" spans="1:72" ht="24.75" customHeight="1">
      <c r="A73" s="13" t="s">
        <v>89</v>
      </c>
      <c r="B73" s="14" t="s">
        <v>90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9"/>
    </row>
    <row r="74" spans="1:72" ht="24.75" customHeight="1">
      <c r="A74" s="13"/>
      <c r="B74" s="14" t="s">
        <v>696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9"/>
    </row>
    <row r="75" spans="1:72" s="46" customFormat="1" ht="24.75" customHeight="1">
      <c r="A75" s="17" t="s">
        <v>91</v>
      </c>
      <c r="B75" s="44" t="s">
        <v>92</v>
      </c>
      <c r="C75" s="45">
        <v>-555.61801722159748</v>
      </c>
      <c r="D75" s="45">
        <v>-611.98328349033613</v>
      </c>
      <c r="E75" s="45">
        <v>-931.77966130153379</v>
      </c>
      <c r="F75" s="45">
        <v>-917.880728245</v>
      </c>
      <c r="G75" s="45">
        <v>-556.79511823752671</v>
      </c>
      <c r="H75" s="45">
        <v>-617.71018282945465</v>
      </c>
      <c r="I75" s="358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</row>
    <row r="76" spans="1:72" s="36" customFormat="1" ht="36.75" customHeight="1">
      <c r="A76" s="47"/>
      <c r="B76" s="48" t="s">
        <v>93</v>
      </c>
      <c r="C76" s="49">
        <v>0</v>
      </c>
      <c r="D76" s="49">
        <v>0</v>
      </c>
      <c r="E76" s="49">
        <v>0</v>
      </c>
      <c r="F76" s="49"/>
      <c r="G76" s="49">
        <v>0</v>
      </c>
      <c r="H76" s="49"/>
      <c r="I76" s="345"/>
    </row>
    <row r="77" spans="1:72" ht="24.75" customHeight="1">
      <c r="A77" s="7" t="s">
        <v>94</v>
      </c>
      <c r="B77" s="10" t="s">
        <v>95</v>
      </c>
      <c r="C77" s="11">
        <v>471.14080205699997</v>
      </c>
      <c r="D77" s="11">
        <v>944.51660468499995</v>
      </c>
      <c r="E77" s="11">
        <v>1107.4620879649999</v>
      </c>
      <c r="F77" s="11">
        <v>954.49155076399995</v>
      </c>
      <c r="G77" s="11">
        <v>-75.362113735000008</v>
      </c>
      <c r="H77" s="11">
        <v>745.54191265099996</v>
      </c>
      <c r="I77" s="9"/>
    </row>
    <row r="78" spans="1:72" ht="24.75" customHeight="1">
      <c r="A78" s="13" t="s">
        <v>96</v>
      </c>
      <c r="B78" s="14" t="s">
        <v>97</v>
      </c>
      <c r="C78" s="15">
        <v>471.14080205699997</v>
      </c>
      <c r="D78" s="15">
        <v>944.51660468499995</v>
      </c>
      <c r="E78" s="15">
        <v>1107.4620879649999</v>
      </c>
      <c r="F78" s="15">
        <v>954.49155076399995</v>
      </c>
      <c r="G78" s="15">
        <v>-75.362113735000008</v>
      </c>
      <c r="H78" s="15">
        <v>745.54191265099996</v>
      </c>
    </row>
    <row r="79" spans="1:72" s="27" customFormat="1" ht="24.75" customHeight="1">
      <c r="A79" s="25"/>
      <c r="B79" s="22" t="s">
        <v>98</v>
      </c>
      <c r="C79" s="396">
        <v>224.48289977800002</v>
      </c>
      <c r="D79" s="396">
        <v>610.24636528799999</v>
      </c>
      <c r="E79" s="396">
        <v>765.71236484399992</v>
      </c>
      <c r="F79" s="396">
        <v>607.44779768099988</v>
      </c>
      <c r="G79" s="396">
        <v>-68.936355926999994</v>
      </c>
      <c r="H79" s="396">
        <v>542.48634146199993</v>
      </c>
      <c r="I79" s="338"/>
    </row>
    <row r="80" spans="1:72" s="27" customFormat="1" ht="24.75" customHeight="1">
      <c r="A80" s="25"/>
      <c r="B80" s="22" t="s">
        <v>99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338"/>
    </row>
    <row r="81" spans="1:8" s="27" customFormat="1" ht="24.75" customHeight="1">
      <c r="A81" s="25"/>
      <c r="B81" s="22" t="s">
        <v>100</v>
      </c>
      <c r="C81" s="23">
        <v>251.48702435299998</v>
      </c>
      <c r="D81" s="23">
        <v>325.41795548499999</v>
      </c>
      <c r="E81" s="23">
        <v>336.27022493599998</v>
      </c>
      <c r="F81" s="23">
        <v>346.60072291299997</v>
      </c>
      <c r="G81" s="23">
        <v>-1.404334084</v>
      </c>
      <c r="H81" s="23">
        <v>193.30060519400001</v>
      </c>
    </row>
    <row r="82" spans="1:8" s="27" customFormat="1" ht="24.75" customHeight="1">
      <c r="A82" s="25"/>
      <c r="B82" s="50" t="s">
        <v>101</v>
      </c>
      <c r="C82" s="23">
        <v>252.42099999999999</v>
      </c>
      <c r="D82" s="23">
        <v>327.29249999999996</v>
      </c>
      <c r="E82" s="23">
        <v>339.58292763499998</v>
      </c>
      <c r="F82" s="23">
        <v>351.31604218699999</v>
      </c>
      <c r="G82" s="23">
        <v>0</v>
      </c>
      <c r="H82" s="23">
        <v>196.78710000000001</v>
      </c>
    </row>
    <row r="83" spans="1:8" s="27" customFormat="1" ht="24.75" customHeight="1">
      <c r="A83" s="25"/>
      <c r="B83" s="51" t="s">
        <v>102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</row>
    <row r="84" spans="1:8" s="27" customFormat="1" ht="24.75" customHeight="1">
      <c r="A84" s="25"/>
      <c r="B84" s="22" t="s">
        <v>103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1:8" s="27" customFormat="1" ht="24.75" customHeight="1">
      <c r="A85" s="25"/>
      <c r="B85" s="52" t="s">
        <v>104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</row>
    <row r="86" spans="1:8" s="27" customFormat="1" ht="24.75" customHeight="1">
      <c r="A86" s="25"/>
      <c r="B86" s="52" t="s">
        <v>105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</row>
    <row r="87" spans="1:8" s="27" customFormat="1" ht="24.75" customHeight="1">
      <c r="A87" s="25"/>
      <c r="B87" s="52" t="s">
        <v>106</v>
      </c>
      <c r="C87" s="23">
        <v>-4.8291220739999998</v>
      </c>
      <c r="D87" s="23">
        <v>8.852283911999999</v>
      </c>
      <c r="E87" s="23">
        <v>5.4794981849999989</v>
      </c>
      <c r="F87" s="23">
        <v>0.44303016999999922</v>
      </c>
      <c r="G87" s="23">
        <v>-5.0214237239999999</v>
      </c>
      <c r="H87" s="23">
        <v>9.7549659949999992</v>
      </c>
    </row>
    <row r="88" spans="1:8" ht="24.75" customHeight="1">
      <c r="A88" s="13" t="s">
        <v>107</v>
      </c>
      <c r="B88" s="14" t="s">
        <v>108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1:8" ht="24.75" customHeight="1">
      <c r="A89" s="13" t="s">
        <v>109</v>
      </c>
      <c r="B89" s="14" t="s">
        <v>110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1:8" ht="24.75" customHeight="1">
      <c r="A90" s="7" t="s">
        <v>111</v>
      </c>
      <c r="B90" s="10" t="s">
        <v>112</v>
      </c>
      <c r="C90" s="11">
        <v>1024.5095169414963</v>
      </c>
      <c r="D90" s="11">
        <v>1556.7844598500519</v>
      </c>
      <c r="E90" s="11">
        <v>2040.0015312738296</v>
      </c>
      <c r="F90" s="11">
        <v>1874.2996205076658</v>
      </c>
      <c r="G90" s="11">
        <v>483.35607658766401</v>
      </c>
      <c r="H90" s="11">
        <v>1363.9188057603305</v>
      </c>
    </row>
    <row r="91" spans="1:8" ht="24.75" customHeight="1">
      <c r="A91" s="13" t="s">
        <v>113</v>
      </c>
      <c r="B91" s="14" t="s">
        <v>97</v>
      </c>
      <c r="C91" s="15">
        <v>509.16320185017503</v>
      </c>
      <c r="D91" s="15">
        <v>487.09870301207502</v>
      </c>
      <c r="E91" s="15">
        <v>837.76298300307496</v>
      </c>
      <c r="F91" s="15">
        <v>784.24650888777478</v>
      </c>
      <c r="G91" s="15">
        <v>485.3972066880001</v>
      </c>
      <c r="H91" s="15">
        <v>453.48114998889997</v>
      </c>
    </row>
    <row r="92" spans="1:8" s="366" customFormat="1" ht="24.75" customHeight="1">
      <c r="A92" s="362"/>
      <c r="B92" s="363" t="s">
        <v>114</v>
      </c>
      <c r="C92" s="364">
        <v>171.09818867017498</v>
      </c>
      <c r="D92" s="364">
        <v>221.70455945007498</v>
      </c>
      <c r="E92" s="364">
        <v>666.85936085007495</v>
      </c>
      <c r="F92" s="364">
        <v>609.13980679477481</v>
      </c>
      <c r="G92" s="364">
        <v>426.80160108400003</v>
      </c>
      <c r="H92" s="364">
        <v>436.3782583789</v>
      </c>
    </row>
    <row r="93" spans="1:8" s="30" customFormat="1" ht="24.75" customHeight="1">
      <c r="A93" s="53"/>
      <c r="B93" s="22" t="s">
        <v>726</v>
      </c>
      <c r="C93" s="396">
        <v>0.1905</v>
      </c>
      <c r="D93" s="396">
        <v>1.3625</v>
      </c>
      <c r="E93" s="396">
        <v>2.79501</v>
      </c>
      <c r="F93" s="396">
        <v>2.9380099999999998</v>
      </c>
      <c r="G93" s="396">
        <v>80.386200000000002</v>
      </c>
      <c r="H93" s="396">
        <v>90.476200000000006</v>
      </c>
    </row>
    <row r="94" spans="1:8" s="30" customFormat="1" ht="24.75" customHeight="1">
      <c r="A94" s="53"/>
      <c r="B94" s="22" t="s">
        <v>116</v>
      </c>
      <c r="C94" s="396">
        <v>31.050999999999998</v>
      </c>
      <c r="D94" s="396">
        <v>29.482010400000004</v>
      </c>
      <c r="E94" s="396">
        <v>-45.576961999999995</v>
      </c>
      <c r="F94" s="396">
        <v>-72.846408299999993</v>
      </c>
      <c r="G94" s="396">
        <v>66.794905639999996</v>
      </c>
      <c r="H94" s="396">
        <v>50.066961539999994</v>
      </c>
    </row>
    <row r="95" spans="1:8" s="30" customFormat="1" ht="24.75" customHeight="1">
      <c r="A95" s="53"/>
      <c r="B95" s="22" t="s">
        <v>117</v>
      </c>
      <c r="C95" s="503">
        <v>187.72999380017501</v>
      </c>
      <c r="D95" s="503">
        <v>245.61489232007503</v>
      </c>
      <c r="E95" s="503">
        <v>353.86942612007505</v>
      </c>
      <c r="F95" s="503">
        <v>351.95432463997503</v>
      </c>
      <c r="G95" s="503">
        <v>250.39111402800003</v>
      </c>
      <c r="H95" s="503">
        <v>248.47601254790004</v>
      </c>
    </row>
    <row r="96" spans="1:8" s="30" customFormat="1" ht="24.75" customHeight="1">
      <c r="A96" s="53"/>
      <c r="B96" s="22" t="s">
        <v>118</v>
      </c>
      <c r="C96" s="396">
        <v>-40.32968013</v>
      </c>
      <c r="D96" s="396">
        <v>-47.211218270000003</v>
      </c>
      <c r="E96" s="396">
        <v>370.82463672999995</v>
      </c>
      <c r="F96" s="396">
        <v>342.14663045479995</v>
      </c>
      <c r="G96" s="396">
        <v>36.911356159999997</v>
      </c>
      <c r="H96" s="396">
        <v>55.181059035000004</v>
      </c>
    </row>
    <row r="97" spans="1:8" s="30" customFormat="1" ht="24.75" customHeight="1">
      <c r="A97" s="53"/>
      <c r="B97" s="22" t="s">
        <v>119</v>
      </c>
      <c r="C97" s="396">
        <v>-7.509125</v>
      </c>
      <c r="D97" s="396">
        <v>-7.509125</v>
      </c>
      <c r="E97" s="396">
        <v>-15.01825</v>
      </c>
      <c r="F97" s="396">
        <v>-15.01825</v>
      </c>
      <c r="G97" s="396">
        <v>-7.509125</v>
      </c>
      <c r="H97" s="396">
        <v>-7.509125</v>
      </c>
    </row>
    <row r="98" spans="1:8" s="30" customFormat="1" ht="24.75" customHeight="1">
      <c r="A98" s="53"/>
      <c r="B98" s="54" t="s">
        <v>120</v>
      </c>
      <c r="C98" s="55">
        <v>127.292</v>
      </c>
      <c r="D98" s="55">
        <v>247.31482535800001</v>
      </c>
      <c r="E98" s="55">
        <v>219.81036337200001</v>
      </c>
      <c r="F98" s="55">
        <v>357.09730131499998</v>
      </c>
      <c r="G98" s="55">
        <v>-27.505461986</v>
      </c>
      <c r="H98" s="55">
        <v>-50.317243750999999</v>
      </c>
    </row>
    <row r="99" spans="1:8" s="30" customFormat="1" ht="24.75" customHeight="1">
      <c r="A99" s="53"/>
      <c r="B99" s="22" t="s">
        <v>121</v>
      </c>
      <c r="C99" s="23">
        <v>-5.3330000000000002</v>
      </c>
      <c r="D99" s="23">
        <v>-14.855344642</v>
      </c>
      <c r="E99" s="23">
        <v>-20.188344642000001</v>
      </c>
      <c r="F99" s="23">
        <v>-29.735944713000002</v>
      </c>
      <c r="G99" s="23">
        <v>-5.3339999999999996</v>
      </c>
      <c r="H99" s="23">
        <v>-5.974319779</v>
      </c>
    </row>
    <row r="100" spans="1:8" s="30" customFormat="1" ht="24.75" customHeight="1">
      <c r="A100" s="53"/>
      <c r="B100" s="22" t="s">
        <v>122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</row>
    <row r="101" spans="1:8" s="30" customFormat="1" ht="24.75" customHeight="1">
      <c r="A101" s="53"/>
      <c r="B101" s="22" t="s">
        <v>123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</row>
    <row r="102" spans="1:8" s="30" customFormat="1" ht="24.75" customHeight="1">
      <c r="A102" s="53"/>
      <c r="B102" s="22" t="s">
        <v>124</v>
      </c>
      <c r="C102" s="23">
        <v>132.625</v>
      </c>
      <c r="D102" s="23">
        <v>262.17016999999998</v>
      </c>
      <c r="E102" s="23">
        <v>239.99870801399999</v>
      </c>
      <c r="F102" s="23">
        <v>386.83324602800002</v>
      </c>
      <c r="G102" s="23">
        <v>-22.171461986000001</v>
      </c>
      <c r="H102" s="23">
        <v>-44.342923972000001</v>
      </c>
    </row>
    <row r="103" spans="1:8" s="30" customFormat="1" ht="24.75" customHeight="1">
      <c r="A103" s="53"/>
      <c r="B103" s="22" t="s">
        <v>125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</row>
    <row r="104" spans="1:8" s="58" customFormat="1" ht="24.75" customHeight="1">
      <c r="A104" s="57"/>
      <c r="B104" s="22" t="s">
        <v>126</v>
      </c>
      <c r="C104" s="23">
        <v>210.77301317999999</v>
      </c>
      <c r="D104" s="23">
        <v>18.079318204000003</v>
      </c>
      <c r="E104" s="23">
        <v>-48.906741218999997</v>
      </c>
      <c r="F104" s="23">
        <v>-181.99059922200001</v>
      </c>
      <c r="G104" s="23">
        <v>86.101067589999985</v>
      </c>
      <c r="H104" s="23">
        <v>67.420135360999964</v>
      </c>
    </row>
    <row r="105" spans="1:8" s="30" customFormat="1" ht="24.75" customHeight="1">
      <c r="A105" s="53"/>
      <c r="B105" s="50" t="s">
        <v>127</v>
      </c>
      <c r="C105" s="23">
        <v>22.679998278999996</v>
      </c>
      <c r="D105" s="23">
        <v>18.436378557999998</v>
      </c>
      <c r="E105" s="23">
        <v>75.074625425999997</v>
      </c>
      <c r="F105" s="23">
        <v>4.6987356709999997</v>
      </c>
      <c r="G105" s="23">
        <v>21.134027276000001</v>
      </c>
      <c r="H105" s="23">
        <v>25.165001711999999</v>
      </c>
    </row>
    <row r="106" spans="1:8" s="59" customFormat="1" ht="24.75" customHeight="1">
      <c r="A106" s="17"/>
      <c r="B106" s="50" t="s">
        <v>128</v>
      </c>
      <c r="C106" s="19">
        <v>197.45826641100001</v>
      </c>
      <c r="D106" s="19">
        <v>61.664405541999983</v>
      </c>
      <c r="E106" s="19">
        <v>-33.920268583000009</v>
      </c>
      <c r="F106" s="19">
        <v>-173.617783987</v>
      </c>
      <c r="G106" s="19">
        <v>92.77753852699999</v>
      </c>
      <c r="H106" s="19">
        <v>91.271301328999982</v>
      </c>
    </row>
    <row r="107" spans="1:8" s="20" customFormat="1" ht="24.75" customHeight="1">
      <c r="A107" s="17"/>
      <c r="B107" s="50" t="s">
        <v>129</v>
      </c>
      <c r="C107" s="19">
        <v>7.6408964180000005</v>
      </c>
      <c r="D107" s="19">
        <v>15.037682032000001</v>
      </c>
      <c r="E107" s="19">
        <v>22.929189866000002</v>
      </c>
      <c r="F107" s="19">
        <v>30.598943727000002</v>
      </c>
      <c r="G107" s="19">
        <v>12.482501787</v>
      </c>
      <c r="H107" s="19">
        <v>27.315872320000004</v>
      </c>
    </row>
    <row r="108" spans="1:8" ht="24.75" customHeight="1">
      <c r="A108" s="13" t="s">
        <v>130</v>
      </c>
      <c r="B108" s="14" t="s">
        <v>108</v>
      </c>
      <c r="C108" s="15">
        <v>515.34631509132123</v>
      </c>
      <c r="D108" s="15">
        <v>1069.6857568379769</v>
      </c>
      <c r="E108" s="15">
        <v>1202.2385482707546</v>
      </c>
      <c r="F108" s="15">
        <v>1090.0531116198911</v>
      </c>
      <c r="G108" s="15">
        <v>-2.0411301003360478</v>
      </c>
      <c r="H108" s="15">
        <v>910.43765577143063</v>
      </c>
    </row>
    <row r="109" spans="1:8" s="30" customFormat="1" ht="24.75" customHeight="1">
      <c r="A109" s="53"/>
      <c r="B109" s="60" t="s">
        <v>131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</row>
    <row r="110" spans="1:8" s="30" customFormat="1" ht="24.75" customHeight="1">
      <c r="A110" s="53"/>
      <c r="B110" s="60" t="s">
        <v>132</v>
      </c>
      <c r="C110" s="23">
        <v>112.25656757982502</v>
      </c>
      <c r="D110" s="23">
        <v>83.937306799925011</v>
      </c>
      <c r="E110" s="23">
        <v>220.37647164992501</v>
      </c>
      <c r="F110" s="23">
        <v>123.30197570522503</v>
      </c>
      <c r="G110" s="23">
        <v>-39.352410828000032</v>
      </c>
      <c r="H110" s="23">
        <v>359.39476187709994</v>
      </c>
    </row>
    <row r="111" spans="1:8" s="62" customFormat="1" ht="24.75" customHeight="1">
      <c r="A111" s="61"/>
      <c r="B111" s="60" t="s">
        <v>133</v>
      </c>
      <c r="C111" s="23">
        <v>54.005000000000003</v>
      </c>
      <c r="D111" s="23">
        <v>28.339989600000003</v>
      </c>
      <c r="E111" s="23">
        <v>-14.219145549999997</v>
      </c>
      <c r="F111" s="23">
        <v>-55.350704249999993</v>
      </c>
      <c r="G111" s="23">
        <v>-19.37390564</v>
      </c>
      <c r="H111" s="23">
        <v>-29.235961540000002</v>
      </c>
    </row>
    <row r="112" spans="1:8" s="62" customFormat="1" ht="24.75" customHeight="1">
      <c r="A112" s="61"/>
      <c r="B112" s="60" t="s">
        <v>134</v>
      </c>
      <c r="C112" s="23">
        <v>23.069140130000005</v>
      </c>
      <c r="D112" s="23">
        <v>20.414889750100002</v>
      </c>
      <c r="E112" s="23">
        <v>177.10406475010001</v>
      </c>
      <c r="F112" s="23">
        <v>129.81269102530001</v>
      </c>
      <c r="G112" s="23">
        <v>-30.235296160000001</v>
      </c>
      <c r="H112" s="23">
        <v>-32.708499035000003</v>
      </c>
    </row>
    <row r="113" spans="1:8" s="27" customFormat="1" ht="24.75" customHeight="1">
      <c r="A113" s="25"/>
      <c r="B113" s="14" t="s">
        <v>135</v>
      </c>
      <c r="C113" s="23">
        <v>40.173302449824995</v>
      </c>
      <c r="D113" s="23">
        <v>40.173302449824995</v>
      </c>
      <c r="E113" s="23">
        <v>67.473302449824999</v>
      </c>
      <c r="F113" s="23">
        <v>62.473307449825001</v>
      </c>
      <c r="G113" s="23">
        <v>15.247665971999972</v>
      </c>
      <c r="H113" s="23">
        <v>11.596097452099972</v>
      </c>
    </row>
    <row r="114" spans="1:8" s="38" customFormat="1" ht="24.75" customHeight="1">
      <c r="A114" s="25"/>
      <c r="B114" s="14" t="s">
        <v>136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414.73399999999998</v>
      </c>
    </row>
    <row r="115" spans="1:8" s="38" customFormat="1" ht="24.75" customHeight="1">
      <c r="A115" s="25"/>
      <c r="B115" s="14" t="s">
        <v>137</v>
      </c>
      <c r="C115" s="23">
        <v>-4.990875</v>
      </c>
      <c r="D115" s="23">
        <v>-4.990875</v>
      </c>
      <c r="E115" s="23">
        <v>-9.9817499999999999</v>
      </c>
      <c r="F115" s="23">
        <v>-9.9817499999999999</v>
      </c>
      <c r="G115" s="23">
        <v>-4.990875</v>
      </c>
      <c r="H115" s="23">
        <v>-4.990875</v>
      </c>
    </row>
    <row r="116" spans="1:8" s="30" customFormat="1" ht="24.75" customHeight="1">
      <c r="A116" s="53"/>
      <c r="B116" s="14" t="s">
        <v>138</v>
      </c>
      <c r="C116" s="23">
        <v>403.08974751149623</v>
      </c>
      <c r="D116" s="23">
        <v>985.74845003805171</v>
      </c>
      <c r="E116" s="23">
        <v>981.86207662082938</v>
      </c>
      <c r="F116" s="23">
        <v>966.75113591466595</v>
      </c>
      <c r="G116" s="23">
        <v>37.311280727663977</v>
      </c>
      <c r="H116" s="23">
        <v>551.04289389433063</v>
      </c>
    </row>
    <row r="117" spans="1:8" s="27" customFormat="1" ht="24.75" customHeight="1">
      <c r="A117" s="25"/>
      <c r="B117" s="22" t="s">
        <v>139</v>
      </c>
      <c r="C117" s="23">
        <v>55.335999999999999</v>
      </c>
      <c r="D117" s="23">
        <v>319.65570259000003</v>
      </c>
      <c r="E117" s="23">
        <v>365.57270259000006</v>
      </c>
      <c r="F117" s="23">
        <v>365.57270259000006</v>
      </c>
      <c r="G117" s="23">
        <v>21.445</v>
      </c>
      <c r="H117" s="23">
        <v>81.757000000000005</v>
      </c>
    </row>
    <row r="118" spans="1:8" s="27" customFormat="1" ht="24.75" customHeight="1">
      <c r="A118" s="25"/>
      <c r="B118" s="22" t="s">
        <v>140</v>
      </c>
      <c r="C118" s="35">
        <v>130.69999999999999</v>
      </c>
      <c r="D118" s="35">
        <v>220.45555555555558</v>
      </c>
      <c r="E118" s="35">
        <v>298.33333333333337</v>
      </c>
      <c r="F118" s="35">
        <v>434.93734616533334</v>
      </c>
      <c r="G118" s="35">
        <v>129.19999999999996</v>
      </c>
      <c r="H118" s="35">
        <v>215.21666666666655</v>
      </c>
    </row>
    <row r="119" spans="1:8" s="27" customFormat="1" ht="24.75" customHeight="1">
      <c r="A119" s="25"/>
      <c r="B119" s="22" t="s">
        <v>141</v>
      </c>
      <c r="C119" s="23">
        <v>252.42099999999999</v>
      </c>
      <c r="D119" s="23">
        <v>327.29249999999996</v>
      </c>
      <c r="E119" s="23">
        <v>339.58292763499998</v>
      </c>
      <c r="F119" s="23">
        <v>351.31604218699999</v>
      </c>
      <c r="G119" s="23">
        <v>0</v>
      </c>
      <c r="H119" s="23">
        <v>196.78710000000001</v>
      </c>
    </row>
    <row r="120" spans="1:8" s="27" customFormat="1" ht="24.75" customHeight="1">
      <c r="A120" s="25"/>
      <c r="B120" s="22" t="s">
        <v>142</v>
      </c>
      <c r="C120" s="23">
        <v>68.078999999999994</v>
      </c>
      <c r="D120" s="23">
        <v>374.83494038100002</v>
      </c>
      <c r="E120" s="23">
        <v>498.05934555100004</v>
      </c>
      <c r="F120" s="23">
        <v>498.05934555100004</v>
      </c>
      <c r="G120" s="23">
        <v>0</v>
      </c>
      <c r="H120" s="23">
        <v>327.9785</v>
      </c>
    </row>
    <row r="121" spans="1:8" s="27" customFormat="1" ht="24.75" customHeight="1">
      <c r="A121" s="25"/>
      <c r="B121" s="22" t="s">
        <v>143</v>
      </c>
      <c r="C121" s="23">
        <v>-103.4462524885038</v>
      </c>
      <c r="D121" s="23">
        <v>-256.49024848850382</v>
      </c>
      <c r="E121" s="23">
        <v>-519.68623248850383</v>
      </c>
      <c r="F121" s="23">
        <v>-683.13430057866731</v>
      </c>
      <c r="G121" s="23">
        <v>-113.333719272336</v>
      </c>
      <c r="H121" s="23">
        <v>-270.69637277233602</v>
      </c>
    </row>
    <row r="122" spans="1:8" s="38" customFormat="1" ht="24.75" customHeight="1">
      <c r="A122" s="25"/>
      <c r="B122" s="22" t="s">
        <v>144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1:8" s="38" customFormat="1" ht="24.75" customHeight="1">
      <c r="A123" s="25"/>
      <c r="B123" s="22" t="s">
        <v>145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</row>
    <row r="124" spans="1:8" s="30" customFormat="1" ht="24.75" customHeight="1">
      <c r="A124" s="53"/>
      <c r="B124" s="60" t="s">
        <v>146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</row>
    <row r="125" spans="1:8" ht="19.5" customHeight="1">
      <c r="A125" s="371" t="s">
        <v>147</v>
      </c>
      <c r="B125" s="371"/>
      <c r="C125" s="11">
        <v>-2.2493023371011702</v>
      </c>
      <c r="D125" s="11">
        <v>0.28457167471565725</v>
      </c>
      <c r="E125" s="11">
        <v>0.75978200729574752</v>
      </c>
      <c r="F125" s="11">
        <v>1.9273414986657826</v>
      </c>
      <c r="G125" s="11">
        <v>1.9230720851372567</v>
      </c>
      <c r="H125" s="11">
        <v>0.66671027987604248</v>
      </c>
    </row>
    <row r="126" spans="1:8" ht="12" hidden="1" customHeight="1">
      <c r="A126" s="63" t="s">
        <v>148</v>
      </c>
      <c r="B126" s="64"/>
      <c r="C126" s="11">
        <v>0</v>
      </c>
      <c r="D126" s="11">
        <v>0</v>
      </c>
      <c r="E126" s="11">
        <v>0</v>
      </c>
    </row>
    <row r="127" spans="1:8" ht="14" hidden="1">
      <c r="A127" s="63" t="s">
        <v>149</v>
      </c>
      <c r="B127" s="64"/>
      <c r="C127" s="11">
        <v>0</v>
      </c>
      <c r="D127" s="11">
        <v>0</v>
      </c>
      <c r="E127" s="11">
        <v>0</v>
      </c>
      <c r="F127" s="9"/>
    </row>
    <row r="128" spans="1:8" hidden="1"/>
  </sheetData>
  <autoFilter ref="A1:F127" xr:uid="{00000000-0009-0000-0000-000007000000}"/>
  <mergeCells count="2">
    <mergeCell ref="B3:F3"/>
    <mergeCell ref="A5:B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I125"/>
  <sheetViews>
    <sheetView topLeftCell="A4" zoomScale="90" zoomScaleNormal="90" zoomScaleSheetLayoutView="90" zoomScalePageLayoutView="117" workbookViewId="0">
      <pane xSplit="2" ySplit="3" topLeftCell="C7" activePane="bottomRight" state="frozen"/>
      <selection activeCell="A4" sqref="A4"/>
      <selection pane="topRight" activeCell="C4" sqref="C4"/>
      <selection pane="bottomLeft" activeCell="A6" sqref="A6"/>
      <selection pane="bottomRight" activeCell="B4" sqref="B1:D1048576"/>
    </sheetView>
  </sheetViews>
  <sheetFormatPr baseColWidth="10" defaultColWidth="9.33203125" defaultRowHeight="13"/>
  <cols>
    <col min="1" max="1" width="6.5" customWidth="1"/>
    <col min="2" max="2" width="80.33203125" bestFit="1" customWidth="1"/>
    <col min="3" max="4" width="14.5" customWidth="1"/>
    <col min="5" max="5" width="17.5" customWidth="1"/>
    <col min="6" max="8" width="23.5" bestFit="1" customWidth="1"/>
    <col min="9" max="40" width="11.33203125" customWidth="1"/>
  </cols>
  <sheetData>
    <row r="1" spans="1:87" ht="19.5" customHeight="1">
      <c r="A1" s="1" t="s">
        <v>0</v>
      </c>
      <c r="B1" s="2"/>
      <c r="C1" s="326"/>
      <c r="D1" s="326"/>
      <c r="E1" s="3"/>
    </row>
    <row r="2" spans="1:87" ht="19.5" customHeight="1">
      <c r="A2" s="1" t="s">
        <v>1</v>
      </c>
      <c r="B2" s="2"/>
      <c r="C2" s="4"/>
      <c r="D2" s="327"/>
      <c r="E2" s="4"/>
    </row>
    <row r="3" spans="1:87" ht="30.75" customHeight="1">
      <c r="A3" s="5" t="s">
        <v>2</v>
      </c>
      <c r="B3" s="514" t="s">
        <v>3</v>
      </c>
      <c r="C3" s="507"/>
      <c r="D3" s="507"/>
      <c r="E3" s="508"/>
      <c r="CI3" t="e">
        <f>CH3/CG3-1</f>
        <v>#DIV/0!</v>
      </c>
    </row>
    <row r="4" spans="1:87" ht="30.75" customHeight="1">
      <c r="A4" s="5"/>
      <c r="B4" s="393"/>
      <c r="C4" s="391"/>
      <c r="D4" s="391"/>
      <c r="E4" s="392"/>
    </row>
    <row r="5" spans="1:87" ht="34">
      <c r="A5" s="509"/>
      <c r="B5" s="510"/>
      <c r="C5" s="328" t="s">
        <v>714</v>
      </c>
      <c r="D5" s="328" t="s">
        <v>720</v>
      </c>
      <c r="E5" s="328" t="s">
        <v>721</v>
      </c>
    </row>
    <row r="6" spans="1:87" ht="33" customHeight="1">
      <c r="A6" s="7"/>
      <c r="B6" s="8" t="s">
        <v>5</v>
      </c>
      <c r="C6" s="329"/>
      <c r="D6" s="329"/>
      <c r="E6" s="329"/>
    </row>
    <row r="7" spans="1:87" s="12" customFormat="1" ht="24.75" customHeight="1">
      <c r="A7" s="7" t="s">
        <v>6</v>
      </c>
      <c r="B7" s="10" t="s">
        <v>677</v>
      </c>
      <c r="C7" s="11">
        <v>789.63714164374323</v>
      </c>
      <c r="D7" s="11">
        <v>1834.5641071653379</v>
      </c>
      <c r="E7" s="11">
        <v>2766.4572854582048</v>
      </c>
      <c r="F7" s="9"/>
      <c r="G7" s="9"/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</row>
    <row r="8" spans="1:87" ht="24.75" customHeight="1">
      <c r="A8" s="13" t="s">
        <v>8</v>
      </c>
      <c r="B8" s="14" t="s">
        <v>9</v>
      </c>
      <c r="C8" s="15">
        <v>707.16287808991001</v>
      </c>
      <c r="D8" s="15">
        <v>1668.1253566059102</v>
      </c>
      <c r="E8" s="15">
        <v>2496.1858668151103</v>
      </c>
    </row>
    <row r="9" spans="1:87" s="20" customFormat="1" ht="24.75" customHeight="1">
      <c r="A9" s="17" t="s">
        <v>10</v>
      </c>
      <c r="B9" s="18" t="s">
        <v>11</v>
      </c>
      <c r="C9" s="19">
        <v>258.76935377365999</v>
      </c>
      <c r="D9" s="19">
        <v>658.64727736965995</v>
      </c>
      <c r="E9" s="19">
        <v>866.56015084666001</v>
      </c>
    </row>
    <row r="10" spans="1:87" s="24" customFormat="1" ht="24.75" customHeight="1">
      <c r="A10" s="21"/>
      <c r="B10" s="22" t="s">
        <v>12</v>
      </c>
      <c r="C10" s="23">
        <v>131.21665566599998</v>
      </c>
      <c r="D10" s="23">
        <v>389.782848973</v>
      </c>
      <c r="E10" s="23">
        <v>458.37853667299999</v>
      </c>
    </row>
    <row r="11" spans="1:87" s="24" customFormat="1" ht="24.75" customHeight="1">
      <c r="A11" s="21"/>
      <c r="B11" s="22" t="s">
        <v>13</v>
      </c>
      <c r="C11" s="23">
        <v>126.04446852866002</v>
      </c>
      <c r="D11" s="23">
        <v>264.87584083365999</v>
      </c>
      <c r="E11" s="23">
        <v>401.60928611366</v>
      </c>
    </row>
    <row r="12" spans="1:87" ht="24.75" customHeight="1">
      <c r="A12" s="13"/>
      <c r="B12" s="22" t="s">
        <v>14</v>
      </c>
      <c r="C12" s="23">
        <v>10.993595392</v>
      </c>
      <c r="D12" s="23">
        <v>21.734694804</v>
      </c>
      <c r="E12" s="23">
        <v>33.847924863000003</v>
      </c>
    </row>
    <row r="13" spans="1:87" s="20" customFormat="1" ht="24.75" customHeight="1">
      <c r="A13" s="17" t="s">
        <v>15</v>
      </c>
      <c r="B13" s="18" t="s">
        <v>16</v>
      </c>
      <c r="C13" s="19">
        <v>10.797549994000001</v>
      </c>
      <c r="D13" s="19">
        <v>21.220544160999999</v>
      </c>
      <c r="E13" s="19">
        <v>31.253956956000003</v>
      </c>
    </row>
    <row r="14" spans="1:87" s="20" customFormat="1" ht="24.75" customHeight="1">
      <c r="A14" s="17"/>
      <c r="B14" s="336" t="s">
        <v>678</v>
      </c>
      <c r="C14" s="19">
        <v>1.8297504739999999</v>
      </c>
      <c r="D14" s="19">
        <v>3.4427518269999995</v>
      </c>
      <c r="E14" s="19">
        <v>4.8673906159999998</v>
      </c>
    </row>
    <row r="15" spans="1:87" s="20" customFormat="1" ht="24.75" customHeight="1">
      <c r="A15" s="17" t="s">
        <v>17</v>
      </c>
      <c r="B15" s="18" t="s">
        <v>18</v>
      </c>
      <c r="C15" s="19">
        <v>9.4660681039999997</v>
      </c>
      <c r="D15" s="19">
        <v>41.958306647000001</v>
      </c>
      <c r="E15" s="19">
        <v>51.512536893000004</v>
      </c>
    </row>
    <row r="16" spans="1:87" s="20" customFormat="1" ht="24.75" customHeight="1">
      <c r="A16" s="17" t="s">
        <v>19</v>
      </c>
      <c r="B16" s="18" t="s">
        <v>20</v>
      </c>
      <c r="C16" s="19">
        <v>314.25835152225</v>
      </c>
      <c r="D16" s="19">
        <v>718.02015577525003</v>
      </c>
      <c r="E16" s="19">
        <v>1185.8157209090282</v>
      </c>
      <c r="F16" s="337"/>
      <c r="G16" s="337"/>
      <c r="H16" s="337"/>
      <c r="I16" s="337"/>
    </row>
    <row r="17" spans="1:5" s="27" customFormat="1" ht="24.75" customHeight="1">
      <c r="A17" s="25"/>
      <c r="B17" s="26" t="s">
        <v>21</v>
      </c>
      <c r="C17" s="23">
        <v>78.730018881999996</v>
      </c>
      <c r="D17" s="23">
        <v>194.07933628999999</v>
      </c>
      <c r="E17" s="23">
        <v>310.53058920900003</v>
      </c>
    </row>
    <row r="18" spans="1:5" s="30" customFormat="1" ht="24.75" hidden="1" customHeight="1">
      <c r="A18" s="28"/>
      <c r="B18" s="29" t="s">
        <v>22</v>
      </c>
      <c r="C18" s="23">
        <v>0</v>
      </c>
      <c r="D18" s="23">
        <v>0</v>
      </c>
      <c r="E18" s="23">
        <v>0</v>
      </c>
    </row>
    <row r="19" spans="1:5" s="30" customFormat="1" ht="24.75" customHeight="1">
      <c r="A19" s="28"/>
      <c r="B19" s="26" t="s">
        <v>23</v>
      </c>
      <c r="C19" s="23">
        <v>132.397673094</v>
      </c>
      <c r="D19" s="23">
        <v>287.37029222199999</v>
      </c>
      <c r="E19" s="23">
        <v>489.13381681857811</v>
      </c>
    </row>
    <row r="20" spans="1:5" s="30" customFormat="1" ht="24.75" hidden="1" customHeight="1">
      <c r="A20" s="28"/>
      <c r="B20" s="29" t="s">
        <v>24</v>
      </c>
      <c r="C20" s="23">
        <v>0</v>
      </c>
      <c r="D20" s="23">
        <v>0</v>
      </c>
      <c r="E20" s="23">
        <v>0</v>
      </c>
    </row>
    <row r="21" spans="1:5" s="30" customFormat="1" ht="24.75" customHeight="1">
      <c r="A21" s="28"/>
      <c r="B21" s="29" t="s">
        <v>25</v>
      </c>
      <c r="C21" s="23">
        <v>11.713275128000001</v>
      </c>
      <c r="D21" s="23">
        <v>23.468122681000004</v>
      </c>
      <c r="E21" s="23">
        <v>40.088495944999998</v>
      </c>
    </row>
    <row r="22" spans="1:5" s="30" customFormat="1" ht="24.75" customHeight="1">
      <c r="A22" s="28"/>
      <c r="B22" s="29" t="s">
        <v>691</v>
      </c>
      <c r="C22" s="23">
        <v>15.898534274099999</v>
      </c>
      <c r="D22" s="23">
        <v>32.025840391149998</v>
      </c>
      <c r="E22" s="23">
        <v>48.429794147949998</v>
      </c>
    </row>
    <row r="23" spans="1:5" s="20" customFormat="1" ht="27.75" customHeight="1">
      <c r="A23" s="17" t="s">
        <v>26</v>
      </c>
      <c r="B23" s="32" t="s">
        <v>27</v>
      </c>
      <c r="C23" s="19">
        <v>102.782110219</v>
      </c>
      <c r="D23" s="19">
        <v>206.45176062600001</v>
      </c>
      <c r="E23" s="19">
        <v>326.47138907442189</v>
      </c>
    </row>
    <row r="24" spans="1:5" s="20" customFormat="1" ht="24.75" customHeight="1">
      <c r="A24" s="17"/>
      <c r="B24" s="18" t="s">
        <v>679</v>
      </c>
      <c r="C24" s="19">
        <v>10.192849362</v>
      </c>
      <c r="D24" s="19">
        <v>20.365773369999999</v>
      </c>
      <c r="E24" s="19">
        <v>30.163561435611072</v>
      </c>
    </row>
    <row r="25" spans="1:5" s="27" customFormat="1" ht="24.75" hidden="1" customHeight="1">
      <c r="A25" s="25"/>
      <c r="B25" s="26" t="s">
        <v>28</v>
      </c>
      <c r="C25" s="23">
        <v>0</v>
      </c>
      <c r="D25" s="23">
        <v>0</v>
      </c>
      <c r="E25" s="23"/>
    </row>
    <row r="26" spans="1:5" ht="24.75" customHeight="1">
      <c r="A26" s="13" t="s">
        <v>29</v>
      </c>
      <c r="B26" s="33" t="s">
        <v>30</v>
      </c>
      <c r="C26" s="15">
        <v>11.089444477000001</v>
      </c>
      <c r="D26" s="15">
        <v>21.827312027000001</v>
      </c>
      <c r="E26" s="15">
        <v>34.572112136000001</v>
      </c>
    </row>
    <row r="27" spans="1:5" s="20" customFormat="1" ht="24.75" customHeight="1">
      <c r="A27" s="17" t="s">
        <v>31</v>
      </c>
      <c r="B27" s="34" t="s">
        <v>32</v>
      </c>
      <c r="C27" s="19">
        <v>0</v>
      </c>
      <c r="D27" s="19">
        <v>0</v>
      </c>
      <c r="E27" s="19">
        <v>0</v>
      </c>
    </row>
    <row r="28" spans="1:5" s="20" customFormat="1" ht="24.75" customHeight="1">
      <c r="A28" s="17" t="s">
        <v>33</v>
      </c>
      <c r="B28" s="34" t="s">
        <v>34</v>
      </c>
      <c r="C28" s="19">
        <v>31.556000000000001</v>
      </c>
      <c r="D28" s="19">
        <v>79.686221464777788</v>
      </c>
      <c r="E28" s="19">
        <v>135.65733257544449</v>
      </c>
    </row>
    <row r="29" spans="1:5" ht="24.75" customHeight="1">
      <c r="A29" s="13"/>
      <c r="B29" s="14" t="s">
        <v>35</v>
      </c>
      <c r="C29" s="15">
        <v>4.3559999999999999</v>
      </c>
      <c r="D29" s="15">
        <v>16.386221464999998</v>
      </c>
      <c r="E29" s="15">
        <v>22.946221464999997</v>
      </c>
    </row>
    <row r="30" spans="1:5" ht="24.75" customHeight="1">
      <c r="A30" s="13"/>
      <c r="B30" s="14" t="s">
        <v>36</v>
      </c>
      <c r="C30" s="15">
        <v>27.2</v>
      </c>
      <c r="D30" s="15">
        <v>63.299999999777789</v>
      </c>
      <c r="E30" s="15">
        <v>112.71111111044448</v>
      </c>
    </row>
    <row r="31" spans="1:5" s="20" customFormat="1" ht="24.75" customHeight="1">
      <c r="A31" s="17" t="s">
        <v>37</v>
      </c>
      <c r="B31" s="34" t="s">
        <v>38</v>
      </c>
      <c r="C31" s="19">
        <v>50.918263553833334</v>
      </c>
      <c r="D31" s="19">
        <v>86.752529094649987</v>
      </c>
      <c r="E31" s="19">
        <v>134.61408606764999</v>
      </c>
    </row>
    <row r="32" spans="1:5" s="27" customFormat="1" ht="24.75" customHeight="1">
      <c r="A32" s="25"/>
      <c r="B32" s="22" t="s">
        <v>39</v>
      </c>
      <c r="C32" s="23">
        <v>17.776358233</v>
      </c>
      <c r="D32" s="23">
        <v>30.916357474999998</v>
      </c>
      <c r="E32" s="23">
        <v>65.370757631999993</v>
      </c>
    </row>
    <row r="33" spans="1:71" s="27" customFormat="1" ht="24.75" customHeight="1">
      <c r="A33" s="25"/>
      <c r="B33" s="22" t="s">
        <v>40</v>
      </c>
      <c r="C33" s="23">
        <v>0</v>
      </c>
      <c r="D33" s="23">
        <v>0</v>
      </c>
      <c r="E33" s="23">
        <v>0</v>
      </c>
    </row>
    <row r="34" spans="1:71" s="27" customFormat="1" ht="24.75" customHeight="1">
      <c r="A34" s="25"/>
      <c r="B34" s="22" t="s">
        <v>41</v>
      </c>
      <c r="C34" s="23">
        <v>0</v>
      </c>
      <c r="D34" s="23">
        <v>0</v>
      </c>
      <c r="E34" s="23">
        <v>0</v>
      </c>
    </row>
    <row r="35" spans="1:71" s="27" customFormat="1" ht="24.75" customHeight="1">
      <c r="A35" s="25"/>
      <c r="B35" s="22" t="s">
        <v>42</v>
      </c>
      <c r="C35" s="23">
        <v>33.141905320833331</v>
      </c>
      <c r="D35" s="23">
        <v>55.836171619649996</v>
      </c>
      <c r="E35" s="23">
        <v>69.24332843565</v>
      </c>
    </row>
    <row r="36" spans="1:71" s="12" customFormat="1" ht="24.75" customHeight="1">
      <c r="A36" s="7" t="s">
        <v>43</v>
      </c>
      <c r="B36" s="10" t="s">
        <v>44</v>
      </c>
      <c r="C36" s="11">
        <v>1183.6176781783408</v>
      </c>
      <c r="D36" s="11">
        <v>2138.3678275033408</v>
      </c>
      <c r="E36" s="11">
        <v>3245.3908897539586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</row>
    <row r="37" spans="1:71" ht="24.75" customHeight="1">
      <c r="A37" s="13" t="s">
        <v>45</v>
      </c>
      <c r="B37" s="14" t="s">
        <v>46</v>
      </c>
      <c r="C37" s="15">
        <v>313.61206074899997</v>
      </c>
      <c r="D37" s="15">
        <v>630.22355486899994</v>
      </c>
      <c r="E37" s="15">
        <v>951.11615893299995</v>
      </c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1"/>
      <c r="Q37" s="501"/>
      <c r="R37" s="501"/>
    </row>
    <row r="38" spans="1:71" ht="24.75" customHeight="1">
      <c r="A38" s="13" t="s">
        <v>47</v>
      </c>
      <c r="B38" s="14" t="s">
        <v>48</v>
      </c>
      <c r="C38" s="15">
        <v>92.757118907999995</v>
      </c>
      <c r="D38" s="15">
        <v>183.65229561299998</v>
      </c>
      <c r="E38" s="15">
        <v>290.00651093499994</v>
      </c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Q38" s="501"/>
      <c r="R38" s="501"/>
    </row>
    <row r="39" spans="1:71" s="27" customFormat="1" ht="24.75" customHeight="1">
      <c r="A39" s="25"/>
      <c r="B39" s="22" t="s">
        <v>49</v>
      </c>
      <c r="C39" s="23">
        <v>0</v>
      </c>
      <c r="D39" s="23">
        <v>0</v>
      </c>
      <c r="E39" s="23">
        <v>0</v>
      </c>
    </row>
    <row r="40" spans="1:71" s="27" customFormat="1" ht="24.75" customHeight="1">
      <c r="A40" s="25"/>
      <c r="B40" s="22" t="s">
        <v>50</v>
      </c>
      <c r="C40" s="23">
        <v>0.148244296</v>
      </c>
      <c r="D40" s="23">
        <v>0.66135336499999997</v>
      </c>
      <c r="E40" s="23">
        <v>1.050285844</v>
      </c>
    </row>
    <row r="41" spans="1:71" ht="24.75" customHeight="1">
      <c r="A41" s="13" t="s">
        <v>51</v>
      </c>
      <c r="B41" s="14" t="s">
        <v>52</v>
      </c>
      <c r="C41" s="15">
        <v>0</v>
      </c>
      <c r="D41" s="15">
        <v>0</v>
      </c>
      <c r="E41" s="15">
        <v>0</v>
      </c>
    </row>
    <row r="42" spans="1:71" s="36" customFormat="1" ht="24.75" customHeight="1">
      <c r="A42" s="13" t="s">
        <v>53</v>
      </c>
      <c r="B42" s="14" t="s">
        <v>54</v>
      </c>
      <c r="C42" s="15">
        <v>149.90998612334073</v>
      </c>
      <c r="D42" s="15">
        <v>280.75081325734072</v>
      </c>
      <c r="E42" s="15">
        <v>407.12742052196052</v>
      </c>
    </row>
    <row r="43" spans="1:71" s="38" customFormat="1" ht="24.75" customHeight="1">
      <c r="A43" s="25"/>
      <c r="B43" s="37" t="s">
        <v>55</v>
      </c>
      <c r="C43" s="15">
        <v>128.11890225256721</v>
      </c>
      <c r="D43" s="15">
        <v>241.99433085344899</v>
      </c>
      <c r="E43" s="15">
        <v>353.33601094164749</v>
      </c>
    </row>
    <row r="44" spans="1:71" s="38" customFormat="1" ht="24.75" customHeight="1">
      <c r="A44" s="25"/>
      <c r="B44" s="37" t="s">
        <v>56</v>
      </c>
      <c r="C44" s="15">
        <v>21.791083870773562</v>
      </c>
      <c r="D44" s="15">
        <v>38.756482403891809</v>
      </c>
      <c r="E44" s="15">
        <v>53.7914095803131</v>
      </c>
    </row>
    <row r="45" spans="1:71" ht="24.75" customHeight="1">
      <c r="A45" s="13" t="s">
        <v>57</v>
      </c>
      <c r="B45" s="14" t="s">
        <v>58</v>
      </c>
      <c r="C45" s="15">
        <v>22.030538174999997</v>
      </c>
      <c r="D45" s="15">
        <v>38.042236099999997</v>
      </c>
      <c r="E45" s="15">
        <v>62.454044216</v>
      </c>
    </row>
    <row r="46" spans="1:71" s="27" customFormat="1" ht="24.75" hidden="1" customHeight="1">
      <c r="A46" s="25"/>
      <c r="B46" s="22"/>
      <c r="C46" s="15">
        <v>0</v>
      </c>
      <c r="D46" s="15">
        <v>0</v>
      </c>
      <c r="E46" s="15">
        <v>0</v>
      </c>
    </row>
    <row r="47" spans="1:71" s="27" customFormat="1" ht="24.75" customHeight="1">
      <c r="A47" s="25"/>
      <c r="B47" s="22" t="s">
        <v>692</v>
      </c>
      <c r="C47" s="15">
        <v>0</v>
      </c>
      <c r="D47" s="15">
        <v>0</v>
      </c>
      <c r="E47" s="15">
        <v>0</v>
      </c>
    </row>
    <row r="48" spans="1:71" ht="24.75" customHeight="1">
      <c r="A48" s="13" t="s">
        <v>59</v>
      </c>
      <c r="B48" s="14" t="s">
        <v>34</v>
      </c>
      <c r="C48" s="15">
        <v>521.13349029599999</v>
      </c>
      <c r="D48" s="15">
        <v>850.227305194</v>
      </c>
      <c r="E48" s="15">
        <v>1338.1441993989999</v>
      </c>
    </row>
    <row r="49" spans="1:71" s="27" customFormat="1" ht="24.75" customHeight="1">
      <c r="A49" s="25"/>
      <c r="B49" s="22" t="s">
        <v>60</v>
      </c>
      <c r="C49" s="15">
        <v>365.64566373799994</v>
      </c>
      <c r="D49" s="15">
        <v>523.3227069809999</v>
      </c>
      <c r="E49" s="15">
        <v>778.15216336399988</v>
      </c>
    </row>
    <row r="50" spans="1:71" s="27" customFormat="1" ht="24.75" customHeight="1">
      <c r="A50" s="25"/>
      <c r="B50" s="22" t="s">
        <v>693</v>
      </c>
      <c r="C50" s="15">
        <v>1.829750674</v>
      </c>
      <c r="D50" s="15">
        <v>3.442752027</v>
      </c>
      <c r="E50" s="15">
        <v>4.8673908160000003</v>
      </c>
    </row>
    <row r="51" spans="1:71" s="27" customFormat="1" ht="24.75" customHeight="1">
      <c r="A51" s="25"/>
      <c r="B51" s="22" t="s">
        <v>61</v>
      </c>
      <c r="C51" s="15">
        <v>155.48782655799999</v>
      </c>
      <c r="D51" s="15">
        <v>326.90459821299999</v>
      </c>
      <c r="E51" s="15">
        <v>559.99203603499996</v>
      </c>
    </row>
    <row r="52" spans="1:71" s="27" customFormat="1" ht="24.75" customHeight="1">
      <c r="A52" s="25"/>
      <c r="B52" s="22" t="s">
        <v>694</v>
      </c>
      <c r="C52" s="15">
        <v>10.192849362</v>
      </c>
      <c r="D52" s="15">
        <v>20.365773369999999</v>
      </c>
      <c r="E52" s="15">
        <v>30.163561435611072</v>
      </c>
    </row>
    <row r="53" spans="1:71" s="27" customFormat="1" ht="24.75" customHeight="1">
      <c r="A53" s="25"/>
      <c r="B53" s="22" t="s">
        <v>695</v>
      </c>
      <c r="C53" s="15">
        <v>15.898534274099999</v>
      </c>
      <c r="D53" s="15">
        <v>32.025840390399999</v>
      </c>
      <c r="E53" s="15">
        <v>48.429794147199999</v>
      </c>
    </row>
    <row r="54" spans="1:71" s="39" customFormat="1" ht="24.75" customHeight="1">
      <c r="A54" s="13" t="s">
        <v>62</v>
      </c>
      <c r="B54" s="14" t="s">
        <v>63</v>
      </c>
      <c r="C54" s="15">
        <v>7.128463225</v>
      </c>
      <c r="D54" s="15">
        <v>13.372411335999999</v>
      </c>
      <c r="E54" s="15">
        <v>18.099075548999998</v>
      </c>
    </row>
    <row r="55" spans="1:71" ht="24.75" customHeight="1">
      <c r="A55" s="13" t="s">
        <v>64</v>
      </c>
      <c r="B55" s="14" t="s">
        <v>65</v>
      </c>
      <c r="C55" s="15">
        <v>77.046020701999993</v>
      </c>
      <c r="D55" s="15">
        <v>142.09921113399997</v>
      </c>
      <c r="E55" s="15">
        <v>178.44348019999995</v>
      </c>
    </row>
    <row r="56" spans="1:71" ht="24.75" customHeight="1">
      <c r="A56" s="13"/>
      <c r="B56" s="14" t="s">
        <v>66</v>
      </c>
      <c r="C56" s="15">
        <v>77.046020701999993</v>
      </c>
      <c r="D56" s="15">
        <v>142.09921113399997</v>
      </c>
      <c r="E56" s="15">
        <v>178.44348019999995</v>
      </c>
    </row>
    <row r="57" spans="1:71" s="27" customFormat="1" ht="24.75" customHeight="1">
      <c r="A57" s="25"/>
      <c r="B57" s="22" t="s">
        <v>67</v>
      </c>
      <c r="C57" s="23">
        <v>45.197239849999995</v>
      </c>
      <c r="D57" s="23">
        <v>52.779004099999995</v>
      </c>
      <c r="E57" s="23">
        <v>81.670019600000003</v>
      </c>
    </row>
    <row r="58" spans="1:71" s="27" customFormat="1" ht="24.75" customHeight="1">
      <c r="A58" s="25"/>
      <c r="B58" s="22" t="s">
        <v>68</v>
      </c>
      <c r="C58" s="23">
        <v>21.914337517</v>
      </c>
      <c r="D58" s="23">
        <v>74.195868058999991</v>
      </c>
      <c r="E58" s="23">
        <v>74.195868058999991</v>
      </c>
    </row>
    <row r="59" spans="1:71" s="27" customFormat="1" ht="24.75" customHeight="1">
      <c r="A59" s="25"/>
      <c r="B59" s="22" t="s">
        <v>69</v>
      </c>
      <c r="C59" s="23">
        <v>0</v>
      </c>
      <c r="D59" s="23">
        <v>0.8209109</v>
      </c>
      <c r="E59" s="23">
        <v>0.8209109</v>
      </c>
    </row>
    <row r="60" spans="1:71" ht="24.75" customHeight="1">
      <c r="A60" s="13"/>
      <c r="B60" s="14" t="s">
        <v>70</v>
      </c>
      <c r="C60" s="15">
        <v>0</v>
      </c>
      <c r="D60" s="15">
        <v>0</v>
      </c>
      <c r="E60" s="15">
        <v>0</v>
      </c>
      <c r="K60" s="9"/>
    </row>
    <row r="61" spans="1:71" s="27" customFormat="1" ht="24.75" customHeight="1">
      <c r="A61" s="25"/>
      <c r="B61" s="22" t="s">
        <v>71</v>
      </c>
      <c r="C61" s="15">
        <v>0</v>
      </c>
      <c r="D61" s="15">
        <v>0</v>
      </c>
      <c r="E61" s="15">
        <v>0</v>
      </c>
    </row>
    <row r="62" spans="1:71" s="27" customFormat="1" ht="24.75" customHeight="1">
      <c r="A62" s="25"/>
      <c r="B62" s="22" t="s">
        <v>72</v>
      </c>
      <c r="C62" s="15">
        <v>0</v>
      </c>
      <c r="D62" s="15">
        <v>0</v>
      </c>
      <c r="E62" s="15">
        <v>0</v>
      </c>
    </row>
    <row r="63" spans="1:71" s="12" customFormat="1" ht="24.75" customHeight="1">
      <c r="A63" s="17" t="s">
        <v>73</v>
      </c>
      <c r="B63" s="40" t="s">
        <v>74</v>
      </c>
      <c r="C63" s="11">
        <v>-393.98053653459749</v>
      </c>
      <c r="D63" s="11">
        <v>-303.8037203380029</v>
      </c>
      <c r="E63" s="11">
        <v>-478.93360429575387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</row>
    <row r="64" spans="1:71" s="12" customFormat="1" ht="24.75" customHeight="1">
      <c r="A64" s="17" t="s">
        <v>75</v>
      </c>
      <c r="B64" s="40" t="s">
        <v>76</v>
      </c>
      <c r="C64" s="11">
        <v>-393.98053653459749</v>
      </c>
      <c r="D64" s="11">
        <v>-303.8037203380029</v>
      </c>
      <c r="E64" s="11">
        <v>-478.93360429575387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</row>
    <row r="65" spans="1:71" s="36" customFormat="1" ht="35.25" customHeight="1">
      <c r="A65" s="7"/>
      <c r="B65" s="8" t="s">
        <v>77</v>
      </c>
      <c r="C65" s="41">
        <v>0</v>
      </c>
      <c r="D65" s="41">
        <v>0</v>
      </c>
      <c r="E65" s="41"/>
    </row>
    <row r="66" spans="1:71" ht="24.75" customHeight="1">
      <c r="A66" s="7" t="s">
        <v>78</v>
      </c>
      <c r="B66" s="10" t="s">
        <v>79</v>
      </c>
      <c r="C66" s="11">
        <v>161.82085296899999</v>
      </c>
      <c r="D66" s="11">
        <v>310.87297889733338</v>
      </c>
      <c r="E66" s="11">
        <v>457.55215985377771</v>
      </c>
    </row>
    <row r="67" spans="1:71" ht="24.75" customHeight="1">
      <c r="A67" s="13" t="s">
        <v>80</v>
      </c>
      <c r="B67" s="14" t="s">
        <v>81</v>
      </c>
      <c r="C67" s="15">
        <v>161.82085296899999</v>
      </c>
      <c r="D67" s="15">
        <v>310.7862527973333</v>
      </c>
      <c r="E67" s="15">
        <v>456.39060425377778</v>
      </c>
    </row>
    <row r="68" spans="1:71" s="27" customFormat="1" ht="24.75" customHeight="1">
      <c r="A68" s="25"/>
      <c r="B68" s="22" t="s">
        <v>82</v>
      </c>
      <c r="C68" s="23">
        <v>3.9208529689999949</v>
      </c>
      <c r="D68" s="23">
        <v>27.030697241999984</v>
      </c>
      <c r="E68" s="23">
        <v>45.346159809999989</v>
      </c>
    </row>
    <row r="69" spans="1:71" s="27" customFormat="1" ht="24.75" hidden="1" customHeight="1">
      <c r="A69" s="25"/>
      <c r="B69" s="43" t="s">
        <v>83</v>
      </c>
      <c r="C69" s="23">
        <v>0</v>
      </c>
      <c r="D69" s="23">
        <v>0</v>
      </c>
      <c r="E69" s="23">
        <v>0</v>
      </c>
      <c r="F69" s="338"/>
      <c r="G69" s="338"/>
      <c r="H69" s="338"/>
    </row>
    <row r="70" spans="1:71" s="27" customFormat="1" ht="24.75" customHeight="1">
      <c r="A70" s="25"/>
      <c r="B70" s="43" t="s">
        <v>84</v>
      </c>
      <c r="C70" s="23">
        <v>157.9</v>
      </c>
      <c r="D70" s="23">
        <v>283.75555555533333</v>
      </c>
      <c r="E70" s="23">
        <v>411.04444444377776</v>
      </c>
    </row>
    <row r="71" spans="1:71" ht="24.75" customHeight="1">
      <c r="A71" s="13" t="s">
        <v>85</v>
      </c>
      <c r="B71" s="14" t="s">
        <v>86</v>
      </c>
      <c r="C71" s="15">
        <v>0</v>
      </c>
      <c r="D71" s="15">
        <v>3.6831750000000003E-2</v>
      </c>
      <c r="E71" s="15">
        <v>1.11166125</v>
      </c>
    </row>
    <row r="72" spans="1:71" ht="24.75" customHeight="1">
      <c r="A72" s="13" t="s">
        <v>87</v>
      </c>
      <c r="B72" s="14" t="s">
        <v>88</v>
      </c>
      <c r="C72" s="15">
        <v>0</v>
      </c>
      <c r="D72" s="15">
        <v>4.9894349999999997E-2</v>
      </c>
      <c r="E72" s="15">
        <v>4.9894349999999997E-2</v>
      </c>
      <c r="F72" s="9"/>
      <c r="G72" s="9"/>
      <c r="H72" s="9"/>
    </row>
    <row r="73" spans="1:71" ht="24.75" customHeight="1">
      <c r="A73" s="13" t="s">
        <v>89</v>
      </c>
      <c r="B73" s="14" t="s">
        <v>90</v>
      </c>
      <c r="C73" s="15">
        <v>0</v>
      </c>
      <c r="D73" s="15">
        <v>0</v>
      </c>
      <c r="E73" s="15">
        <v>0</v>
      </c>
      <c r="F73" s="9"/>
      <c r="G73" s="9"/>
      <c r="H73" s="9"/>
    </row>
    <row r="74" spans="1:71" ht="24.75" customHeight="1">
      <c r="A74" s="13"/>
      <c r="B74" s="14" t="s">
        <v>696</v>
      </c>
      <c r="C74" s="15">
        <v>0</v>
      </c>
      <c r="D74" s="15">
        <v>0</v>
      </c>
      <c r="E74" s="15">
        <v>0</v>
      </c>
      <c r="F74" s="9"/>
      <c r="G74" s="9"/>
      <c r="H74" s="9"/>
    </row>
    <row r="75" spans="1:71" s="46" customFormat="1" ht="24.75" customHeight="1">
      <c r="A75" s="17" t="s">
        <v>91</v>
      </c>
      <c r="B75" s="44" t="s">
        <v>92</v>
      </c>
      <c r="C75" s="45">
        <v>-555.80138950359742</v>
      </c>
      <c r="D75" s="45">
        <v>-614.67669923533617</v>
      </c>
      <c r="E75" s="45">
        <v>-936.48576414953163</v>
      </c>
      <c r="F75" s="502"/>
      <c r="G75" s="502"/>
      <c r="H75" s="502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</row>
    <row r="76" spans="1:71" s="36" customFormat="1" ht="36.75" customHeight="1">
      <c r="A76" s="47"/>
      <c r="B76" s="48" t="s">
        <v>93</v>
      </c>
      <c r="C76" s="49">
        <v>0</v>
      </c>
      <c r="D76" s="49">
        <v>0</v>
      </c>
      <c r="E76" s="49"/>
      <c r="F76" s="345"/>
      <c r="G76" s="345"/>
      <c r="H76" s="345"/>
    </row>
    <row r="77" spans="1:71" ht="24.75" customHeight="1">
      <c r="A77" s="7" t="s">
        <v>94</v>
      </c>
      <c r="B77" s="10" t="s">
        <v>95</v>
      </c>
      <c r="C77" s="11">
        <v>473.29222838800001</v>
      </c>
      <c r="D77" s="11">
        <v>946.98598755300009</v>
      </c>
      <c r="E77" s="11">
        <v>1116.9681221999999</v>
      </c>
      <c r="F77" s="9"/>
      <c r="G77" s="9"/>
      <c r="H77" s="9"/>
    </row>
    <row r="78" spans="1:71" ht="24.75" customHeight="1">
      <c r="A78" s="13" t="s">
        <v>96</v>
      </c>
      <c r="B78" s="14" t="s">
        <v>97</v>
      </c>
      <c r="C78" s="15">
        <v>473.29222838800001</v>
      </c>
      <c r="D78" s="15">
        <v>946.98598755300009</v>
      </c>
      <c r="E78" s="15">
        <v>1116.9681221999999</v>
      </c>
    </row>
    <row r="79" spans="1:71" s="27" customFormat="1" ht="24.75" customHeight="1">
      <c r="A79" s="25"/>
      <c r="B79" s="22" t="s">
        <v>98</v>
      </c>
      <c r="C79" s="396">
        <v>220.14594487400001</v>
      </c>
      <c r="D79" s="396">
        <v>606.227366921</v>
      </c>
      <c r="E79" s="396">
        <v>775.41963135999993</v>
      </c>
      <c r="F79" s="338"/>
      <c r="G79" s="338"/>
      <c r="H79" s="338"/>
    </row>
    <row r="80" spans="1:71" s="27" customFormat="1" ht="24.75" customHeight="1">
      <c r="A80" s="25"/>
      <c r="B80" s="22" t="s">
        <v>99</v>
      </c>
      <c r="C80" s="23">
        <v>0</v>
      </c>
      <c r="D80" s="23">
        <v>0</v>
      </c>
      <c r="E80" s="23">
        <v>0</v>
      </c>
      <c r="F80" s="338"/>
      <c r="G80" s="338"/>
      <c r="H80" s="338"/>
    </row>
    <row r="81" spans="1:5" s="27" customFormat="1" ht="24.75" customHeight="1">
      <c r="A81" s="25"/>
      <c r="B81" s="22" t="s">
        <v>100</v>
      </c>
      <c r="C81" s="23">
        <v>251.48702435299998</v>
      </c>
      <c r="D81" s="23">
        <v>325.41795548499999</v>
      </c>
      <c r="E81" s="23">
        <v>323.97979730099996</v>
      </c>
    </row>
    <row r="82" spans="1:5" s="27" customFormat="1" ht="24.75" customHeight="1">
      <c r="A82" s="25"/>
      <c r="B82" s="50" t="s">
        <v>101</v>
      </c>
      <c r="C82" s="23">
        <v>252.42099999999999</v>
      </c>
      <c r="D82" s="23">
        <v>327.29249999999996</v>
      </c>
      <c r="E82" s="23">
        <v>327.29249999999996</v>
      </c>
    </row>
    <row r="83" spans="1:5" s="27" customFormat="1" ht="24.75" customHeight="1">
      <c r="A83" s="25"/>
      <c r="B83" s="51" t="s">
        <v>102</v>
      </c>
      <c r="C83" s="23">
        <v>0</v>
      </c>
      <c r="D83" s="23">
        <v>0</v>
      </c>
      <c r="E83" s="23">
        <v>0</v>
      </c>
    </row>
    <row r="84" spans="1:5" s="27" customFormat="1" ht="24.75" customHeight="1">
      <c r="A84" s="25"/>
      <c r="B84" s="22" t="s">
        <v>103</v>
      </c>
      <c r="C84" s="23">
        <v>0</v>
      </c>
      <c r="D84" s="23">
        <v>0</v>
      </c>
      <c r="E84" s="23">
        <v>0</v>
      </c>
    </row>
    <row r="85" spans="1:5" s="27" customFormat="1" ht="24.75" customHeight="1">
      <c r="A85" s="25"/>
      <c r="B85" s="52" t="s">
        <v>104</v>
      </c>
      <c r="C85" s="23">
        <v>0</v>
      </c>
      <c r="D85" s="23">
        <v>0</v>
      </c>
      <c r="E85" s="23">
        <v>0</v>
      </c>
    </row>
    <row r="86" spans="1:5" s="27" customFormat="1" ht="24.75" customHeight="1">
      <c r="A86" s="25"/>
      <c r="B86" s="52" t="s">
        <v>105</v>
      </c>
      <c r="C86" s="23">
        <v>0</v>
      </c>
      <c r="D86" s="23">
        <v>0</v>
      </c>
      <c r="E86" s="23">
        <v>0</v>
      </c>
    </row>
    <row r="87" spans="1:5" s="27" customFormat="1" ht="24.75" customHeight="1">
      <c r="A87" s="25"/>
      <c r="B87" s="52" t="s">
        <v>106</v>
      </c>
      <c r="C87" s="23">
        <v>1.6592591609999998</v>
      </c>
      <c r="D87" s="23">
        <v>15.340665146999999</v>
      </c>
      <c r="E87" s="23">
        <v>17.568693538999998</v>
      </c>
    </row>
    <row r="88" spans="1:5" ht="24.75" customHeight="1">
      <c r="A88" s="13" t="s">
        <v>107</v>
      </c>
      <c r="B88" s="14" t="s">
        <v>108</v>
      </c>
      <c r="C88" s="15">
        <v>0</v>
      </c>
      <c r="D88" s="15">
        <v>0</v>
      </c>
      <c r="E88" s="15">
        <v>0</v>
      </c>
    </row>
    <row r="89" spans="1:5" ht="24.75" customHeight="1">
      <c r="A89" s="13" t="s">
        <v>109</v>
      </c>
      <c r="B89" s="14" t="s">
        <v>110</v>
      </c>
      <c r="C89" s="15">
        <v>0</v>
      </c>
      <c r="D89" s="15">
        <v>0</v>
      </c>
      <c r="E89" s="15">
        <v>0</v>
      </c>
    </row>
    <row r="90" spans="1:5" ht="24.75" customHeight="1">
      <c r="A90" s="7" t="s">
        <v>111</v>
      </c>
      <c r="B90" s="10" t="s">
        <v>112</v>
      </c>
      <c r="C90" s="11">
        <v>1027.6535169414963</v>
      </c>
      <c r="D90" s="11">
        <v>1562.7964598500519</v>
      </c>
      <c r="E90" s="11">
        <v>2055.0434244698295</v>
      </c>
    </row>
    <row r="91" spans="1:5" ht="24.75" customHeight="1">
      <c r="A91" s="13" t="s">
        <v>113</v>
      </c>
      <c r="B91" s="14" t="s">
        <v>97</v>
      </c>
      <c r="C91" s="15">
        <v>512.30720185017503</v>
      </c>
      <c r="D91" s="15">
        <v>493.11070301207508</v>
      </c>
      <c r="E91" s="15">
        <v>865.09530383407503</v>
      </c>
    </row>
    <row r="92" spans="1:5" s="366" customFormat="1" ht="24.75" customHeight="1">
      <c r="A92" s="362"/>
      <c r="B92" s="363" t="s">
        <v>114</v>
      </c>
      <c r="C92" s="364">
        <v>170.94218867017497</v>
      </c>
      <c r="D92" s="364">
        <v>220.37655945007498</v>
      </c>
      <c r="E92" s="364">
        <v>664.098850850075</v>
      </c>
    </row>
    <row r="93" spans="1:5" s="30" customFormat="1" ht="24.75" customHeight="1">
      <c r="A93" s="53"/>
      <c r="B93" s="22" t="s">
        <v>115</v>
      </c>
      <c r="C93" s="396">
        <v>0</v>
      </c>
      <c r="D93" s="396">
        <v>0</v>
      </c>
      <c r="E93" s="396">
        <v>0</v>
      </c>
    </row>
    <row r="94" spans="1:5" s="30" customFormat="1" ht="24.75" customHeight="1">
      <c r="A94" s="53"/>
      <c r="B94" s="22" t="s">
        <v>116</v>
      </c>
      <c r="C94" s="396">
        <v>31.050999999999998</v>
      </c>
      <c r="D94" s="396">
        <v>29.482010400000004</v>
      </c>
      <c r="E94" s="396">
        <v>-45.576961999999995</v>
      </c>
    </row>
    <row r="95" spans="1:5" s="30" customFormat="1" ht="24.75" customHeight="1">
      <c r="A95" s="53"/>
      <c r="B95" s="22" t="s">
        <v>117</v>
      </c>
      <c r="C95" s="503">
        <v>187.72999380017501</v>
      </c>
      <c r="D95" s="503">
        <v>245.61489232007503</v>
      </c>
      <c r="E95" s="503">
        <v>353.86942612007505</v>
      </c>
    </row>
    <row r="96" spans="1:5" s="30" customFormat="1" ht="24.75" customHeight="1">
      <c r="A96" s="53"/>
      <c r="B96" s="22" t="s">
        <v>118</v>
      </c>
      <c r="C96" s="396">
        <v>-40.32968013</v>
      </c>
      <c r="D96" s="396">
        <v>-47.211218270000003</v>
      </c>
      <c r="E96" s="396">
        <v>370.82463672999995</v>
      </c>
    </row>
    <row r="97" spans="1:5" s="30" customFormat="1" ht="24.75" customHeight="1">
      <c r="A97" s="53"/>
      <c r="B97" s="22" t="s">
        <v>119</v>
      </c>
      <c r="C97" s="396">
        <v>-7.509125</v>
      </c>
      <c r="D97" s="396">
        <v>-7.509125</v>
      </c>
      <c r="E97" s="396">
        <v>-15.01825</v>
      </c>
    </row>
    <row r="98" spans="1:5" s="30" customFormat="1" ht="24.75" customHeight="1">
      <c r="A98" s="53"/>
      <c r="B98" s="54" t="s">
        <v>120</v>
      </c>
      <c r="C98" s="55">
        <v>127.292</v>
      </c>
      <c r="D98" s="55">
        <v>251.31482535800001</v>
      </c>
      <c r="E98" s="55">
        <v>245.98182535800001</v>
      </c>
    </row>
    <row r="99" spans="1:5" s="30" customFormat="1" ht="24.75" customHeight="1">
      <c r="A99" s="53"/>
      <c r="B99" s="22" t="s">
        <v>121</v>
      </c>
      <c r="C99" s="23">
        <v>-5.3330000000000002</v>
      </c>
      <c r="D99" s="23">
        <v>-10.855344642</v>
      </c>
      <c r="E99" s="23">
        <v>-16.188344642000001</v>
      </c>
    </row>
    <row r="100" spans="1:5" s="30" customFormat="1" ht="24.75" customHeight="1">
      <c r="A100" s="53"/>
      <c r="B100" s="22" t="s">
        <v>122</v>
      </c>
      <c r="C100" s="23">
        <v>0</v>
      </c>
      <c r="D100" s="23">
        <v>0</v>
      </c>
      <c r="E100" s="23">
        <v>0</v>
      </c>
    </row>
    <row r="101" spans="1:5" s="30" customFormat="1" ht="24.75" customHeight="1">
      <c r="A101" s="53"/>
      <c r="B101" s="22" t="s">
        <v>123</v>
      </c>
      <c r="C101" s="23">
        <v>0</v>
      </c>
      <c r="D101" s="23">
        <v>0</v>
      </c>
      <c r="E101" s="23">
        <v>0</v>
      </c>
    </row>
    <row r="102" spans="1:5" s="30" customFormat="1" ht="24.75" customHeight="1">
      <c r="A102" s="53"/>
      <c r="B102" s="22" t="s">
        <v>124</v>
      </c>
      <c r="C102" s="23">
        <v>132.625</v>
      </c>
      <c r="D102" s="23">
        <v>262.17016999999998</v>
      </c>
      <c r="E102" s="23">
        <v>262.17016999999998</v>
      </c>
    </row>
    <row r="103" spans="1:5" s="30" customFormat="1" ht="24.75" customHeight="1">
      <c r="A103" s="53"/>
      <c r="B103" s="22" t="s">
        <v>125</v>
      </c>
      <c r="C103" s="23">
        <v>0</v>
      </c>
      <c r="D103" s="23">
        <v>0</v>
      </c>
      <c r="E103" s="23">
        <v>0</v>
      </c>
    </row>
    <row r="104" spans="1:5" s="58" customFormat="1" ht="24.75" customHeight="1">
      <c r="A104" s="57"/>
      <c r="B104" s="22" t="s">
        <v>126</v>
      </c>
      <c r="C104" s="23">
        <v>214.07301318000003</v>
      </c>
      <c r="D104" s="23">
        <v>21.419318204000021</v>
      </c>
      <c r="E104" s="23">
        <v>-44.985372373999979</v>
      </c>
    </row>
    <row r="105" spans="1:5" s="30" customFormat="1" ht="24.75" customHeight="1">
      <c r="A105" s="53"/>
      <c r="B105" s="50" t="s">
        <v>127</v>
      </c>
      <c r="C105" s="23">
        <v>22.679998278999996</v>
      </c>
      <c r="D105" s="23">
        <v>18.436378557999998</v>
      </c>
      <c r="E105" s="23">
        <v>75.074625425999997</v>
      </c>
    </row>
    <row r="106" spans="1:5" s="59" customFormat="1" ht="24.75" customHeight="1">
      <c r="A106" s="17"/>
      <c r="B106" s="50" t="s">
        <v>128</v>
      </c>
      <c r="C106" s="19">
        <v>200.75826641099999</v>
      </c>
      <c r="D106" s="19">
        <v>65.004405542000001</v>
      </c>
      <c r="E106" s="19">
        <v>-29.980268582999994</v>
      </c>
    </row>
    <row r="107" spans="1:5" s="20" customFormat="1" ht="24.75" customHeight="1">
      <c r="A107" s="17"/>
      <c r="B107" s="50" t="s">
        <v>129</v>
      </c>
      <c r="C107" s="19">
        <v>7.6408964180000005</v>
      </c>
      <c r="D107" s="19">
        <v>15.037682032000001</v>
      </c>
      <c r="E107" s="19">
        <v>22.910558711</v>
      </c>
    </row>
    <row r="108" spans="1:5" ht="24.75" customHeight="1">
      <c r="A108" s="13" t="s">
        <v>130</v>
      </c>
      <c r="B108" s="14" t="s">
        <v>108</v>
      </c>
      <c r="C108" s="15">
        <v>515.34631509132123</v>
      </c>
      <c r="D108" s="15">
        <v>1069.6857568379769</v>
      </c>
      <c r="E108" s="15">
        <v>1189.9481206357543</v>
      </c>
    </row>
    <row r="109" spans="1:5" s="30" customFormat="1" ht="24.75" customHeight="1">
      <c r="A109" s="53"/>
      <c r="B109" s="60" t="s">
        <v>131</v>
      </c>
      <c r="C109" s="23">
        <v>0</v>
      </c>
      <c r="D109" s="23">
        <v>0</v>
      </c>
      <c r="E109" s="23">
        <v>0</v>
      </c>
    </row>
    <row r="110" spans="1:5" s="30" customFormat="1" ht="24.75" customHeight="1">
      <c r="A110" s="53"/>
      <c r="B110" s="60" t="s">
        <v>132</v>
      </c>
      <c r="C110" s="23">
        <v>112.25656757982502</v>
      </c>
      <c r="D110" s="23">
        <v>83.937306799925011</v>
      </c>
      <c r="E110" s="23">
        <v>220.37647164992501</v>
      </c>
    </row>
    <row r="111" spans="1:5" s="62" customFormat="1" ht="24.75" customHeight="1">
      <c r="A111" s="61"/>
      <c r="B111" s="60" t="s">
        <v>133</v>
      </c>
      <c r="C111" s="23">
        <v>54.005000000000003</v>
      </c>
      <c r="D111" s="23">
        <v>28.339989600000003</v>
      </c>
      <c r="E111" s="23">
        <v>-14.219145549999997</v>
      </c>
    </row>
    <row r="112" spans="1:5" s="62" customFormat="1" ht="24.75" customHeight="1">
      <c r="A112" s="61"/>
      <c r="B112" s="60" t="s">
        <v>134</v>
      </c>
      <c r="C112" s="23">
        <v>23.069140130000005</v>
      </c>
      <c r="D112" s="23">
        <v>20.414889750100002</v>
      </c>
      <c r="E112" s="23">
        <v>177.10406475010001</v>
      </c>
    </row>
    <row r="113" spans="1:5" s="27" customFormat="1" ht="24.75" customHeight="1">
      <c r="A113" s="25"/>
      <c r="B113" s="14" t="s">
        <v>135</v>
      </c>
      <c r="C113" s="23">
        <v>40.173302449824995</v>
      </c>
      <c r="D113" s="23">
        <v>40.173302449824995</v>
      </c>
      <c r="E113" s="23">
        <v>67.473302449824999</v>
      </c>
    </row>
    <row r="114" spans="1:5" s="38" customFormat="1" ht="24.75" customHeight="1">
      <c r="A114" s="25"/>
      <c r="B114" s="14" t="s">
        <v>136</v>
      </c>
      <c r="C114" s="23">
        <v>0</v>
      </c>
      <c r="D114" s="23">
        <v>0</v>
      </c>
      <c r="E114" s="23">
        <v>0</v>
      </c>
    </row>
    <row r="115" spans="1:5" s="38" customFormat="1" ht="24.75" customHeight="1">
      <c r="A115" s="25"/>
      <c r="B115" s="14" t="s">
        <v>137</v>
      </c>
      <c r="C115" s="23">
        <v>-4.990875</v>
      </c>
      <c r="D115" s="23">
        <v>-4.990875</v>
      </c>
      <c r="E115" s="23">
        <v>-9.9817499999999999</v>
      </c>
    </row>
    <row r="116" spans="1:5" s="30" customFormat="1" ht="24.75" customHeight="1">
      <c r="A116" s="53"/>
      <c r="B116" s="14" t="s">
        <v>138</v>
      </c>
      <c r="C116" s="23">
        <v>403.08974751149623</v>
      </c>
      <c r="D116" s="23">
        <v>985.74845003805171</v>
      </c>
      <c r="E116" s="23">
        <v>969.57164898582937</v>
      </c>
    </row>
    <row r="117" spans="1:5" s="27" customFormat="1" ht="24.75" customHeight="1">
      <c r="A117" s="25"/>
      <c r="B117" s="22" t="s">
        <v>139</v>
      </c>
      <c r="C117" s="23">
        <v>55.335999999999999</v>
      </c>
      <c r="D117" s="23">
        <v>319.65570259000003</v>
      </c>
      <c r="E117" s="23">
        <v>365.57270259000006</v>
      </c>
    </row>
    <row r="118" spans="1:5" s="27" customFormat="1" ht="24.75" customHeight="1">
      <c r="A118" s="25"/>
      <c r="B118" s="22" t="s">
        <v>140</v>
      </c>
      <c r="C118" s="35">
        <v>130.69999999999999</v>
      </c>
      <c r="D118" s="35">
        <v>220.45555555555558</v>
      </c>
      <c r="E118" s="35">
        <v>298.33333333333337</v>
      </c>
    </row>
    <row r="119" spans="1:5" s="27" customFormat="1" ht="24.75" customHeight="1">
      <c r="A119" s="25"/>
      <c r="B119" s="22" t="s">
        <v>141</v>
      </c>
      <c r="C119" s="23">
        <v>252.42099999999999</v>
      </c>
      <c r="D119" s="23">
        <v>327.29249999999996</v>
      </c>
      <c r="E119" s="23">
        <v>327.29249999999996</v>
      </c>
    </row>
    <row r="120" spans="1:5" s="27" customFormat="1" ht="24.75" customHeight="1">
      <c r="A120" s="25"/>
      <c r="B120" s="22" t="s">
        <v>142</v>
      </c>
      <c r="C120" s="23">
        <v>68.078999999999994</v>
      </c>
      <c r="D120" s="23">
        <v>374.83494038100002</v>
      </c>
      <c r="E120" s="23">
        <v>498.05934555100004</v>
      </c>
    </row>
    <row r="121" spans="1:5" s="27" customFormat="1" ht="24.75" customHeight="1">
      <c r="A121" s="25"/>
      <c r="B121" s="22" t="s">
        <v>143</v>
      </c>
      <c r="C121" s="23">
        <v>-103.4462524885038</v>
      </c>
      <c r="D121" s="23">
        <v>-256.49024848850382</v>
      </c>
      <c r="E121" s="23">
        <v>-519.68623248850383</v>
      </c>
    </row>
    <row r="122" spans="1:5" s="38" customFormat="1" ht="24.75" customHeight="1">
      <c r="A122" s="25"/>
      <c r="B122" s="22" t="s">
        <v>144</v>
      </c>
      <c r="C122" s="23">
        <v>0</v>
      </c>
      <c r="D122" s="23">
        <v>0</v>
      </c>
      <c r="E122" s="23">
        <v>0</v>
      </c>
    </row>
    <row r="123" spans="1:5" s="38" customFormat="1" ht="24.75" customHeight="1">
      <c r="A123" s="25"/>
      <c r="B123" s="22" t="s">
        <v>145</v>
      </c>
      <c r="C123" s="23">
        <v>0</v>
      </c>
      <c r="D123" s="23">
        <v>0</v>
      </c>
      <c r="E123" s="23">
        <v>0</v>
      </c>
    </row>
    <row r="124" spans="1:5" s="30" customFormat="1" ht="24.75" customHeight="1">
      <c r="A124" s="53"/>
      <c r="B124" s="60" t="s">
        <v>146</v>
      </c>
      <c r="C124" s="23">
        <v>0</v>
      </c>
      <c r="D124" s="23">
        <v>0</v>
      </c>
      <c r="E124" s="23">
        <v>0</v>
      </c>
    </row>
    <row r="125" spans="1:5" ht="19.5" customHeight="1">
      <c r="A125" s="371" t="s">
        <v>147</v>
      </c>
      <c r="B125" s="371"/>
      <c r="C125" s="11">
        <v>-1.4401009501012538</v>
      </c>
      <c r="D125" s="11">
        <v>1.1337730617154591</v>
      </c>
      <c r="E125" s="11">
        <v>1.5895381202976751</v>
      </c>
    </row>
  </sheetData>
  <autoFilter ref="A1:E125" xr:uid="{00000000-0009-0000-0000-000008000000}"/>
  <mergeCells count="2">
    <mergeCell ref="B3:E3"/>
    <mergeCell ref="A5:B5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W56"/>
  <sheetViews>
    <sheetView zoomScale="80" zoomScaleNormal="80" zoomScalePageLayoutView="90" workbookViewId="0">
      <pane xSplit="1" ySplit="1" topLeftCell="U2" activePane="bottomRight" state="frozen"/>
      <selection pane="topRight" activeCell="D1" sqref="D1"/>
      <selection pane="bottomLeft" activeCell="A8" sqref="A8"/>
      <selection pane="bottomRight" activeCell="AZ15" sqref="AZ15"/>
    </sheetView>
  </sheetViews>
  <sheetFormatPr baseColWidth="10" defaultColWidth="9.1640625" defaultRowHeight="14"/>
  <cols>
    <col min="1" max="1" width="68.5" style="67" customWidth="1"/>
    <col min="2" max="2" width="17.1640625" style="67" hidden="1" customWidth="1"/>
    <col min="3" max="3" width="19.6640625" style="67" hidden="1" customWidth="1"/>
    <col min="4" max="4" width="12.5" style="67" hidden="1" customWidth="1"/>
    <col min="5" max="5" width="14.33203125" style="67" hidden="1" customWidth="1"/>
    <col min="6" max="14" width="19.1640625" style="67" hidden="1" customWidth="1"/>
    <col min="15" max="15" width="16.5" style="67" hidden="1" customWidth="1"/>
    <col min="16" max="16" width="22.5" style="67" hidden="1" customWidth="1"/>
    <col min="17" max="30" width="19.1640625" style="67" hidden="1" customWidth="1"/>
    <col min="31" max="31" width="11.83203125" style="67" customWidth="1"/>
    <col min="32" max="33" width="11.83203125" style="67" hidden="1" customWidth="1"/>
    <col min="34" max="34" width="11.83203125" style="67" customWidth="1"/>
    <col min="35" max="36" width="11.83203125" style="67" hidden="1" customWidth="1"/>
    <col min="37" max="37" width="11.83203125" style="67" customWidth="1"/>
    <col min="38" max="39" width="11.83203125" style="67" hidden="1" customWidth="1"/>
    <col min="40" max="40" width="11.83203125" style="67" customWidth="1"/>
    <col min="41" max="42" width="11.83203125" style="67" hidden="1" customWidth="1"/>
    <col min="43" max="43" width="11.83203125" style="67" customWidth="1"/>
    <col min="44" max="45" width="11.83203125" style="67" hidden="1" customWidth="1"/>
    <col min="46" max="46" width="11.83203125" style="67" customWidth="1"/>
    <col min="47" max="47" width="11.83203125" style="67" hidden="1" customWidth="1"/>
    <col min="48" max="48" width="14.1640625" style="67" hidden="1" customWidth="1"/>
    <col min="49" max="49" width="11.83203125" style="67" customWidth="1"/>
    <col min="50" max="212" width="9.1640625" style="67"/>
    <col min="213" max="213" width="16.5" style="67" customWidth="1"/>
    <col min="214" max="214" width="8.1640625" style="67" customWidth="1"/>
    <col min="215" max="215" width="65.83203125" style="67" customWidth="1"/>
    <col min="216" max="468" width="9.1640625" style="67"/>
    <col min="469" max="469" width="16.5" style="67" customWidth="1"/>
    <col min="470" max="470" width="8.1640625" style="67" customWidth="1"/>
    <col min="471" max="471" width="65.83203125" style="67" customWidth="1"/>
    <col min="472" max="724" width="9.1640625" style="67"/>
    <col min="725" max="725" width="16.5" style="67" customWidth="1"/>
    <col min="726" max="726" width="8.1640625" style="67" customWidth="1"/>
    <col min="727" max="727" width="65.83203125" style="67" customWidth="1"/>
    <col min="728" max="980" width="9.1640625" style="67"/>
    <col min="981" max="981" width="16.5" style="67" customWidth="1"/>
    <col min="982" max="982" width="8.1640625" style="67" customWidth="1"/>
    <col min="983" max="983" width="65.83203125" style="67" customWidth="1"/>
    <col min="984" max="1236" width="9.1640625" style="67"/>
    <col min="1237" max="1237" width="16.5" style="67" customWidth="1"/>
    <col min="1238" max="1238" width="8.1640625" style="67" customWidth="1"/>
    <col min="1239" max="1239" width="65.83203125" style="67" customWidth="1"/>
    <col min="1240" max="1492" width="9.1640625" style="67"/>
    <col min="1493" max="1493" width="16.5" style="67" customWidth="1"/>
    <col min="1494" max="1494" width="8.1640625" style="67" customWidth="1"/>
    <col min="1495" max="1495" width="65.83203125" style="67" customWidth="1"/>
    <col min="1496" max="1748" width="9.1640625" style="67"/>
    <col min="1749" max="1749" width="16.5" style="67" customWidth="1"/>
    <col min="1750" max="1750" width="8.1640625" style="67" customWidth="1"/>
    <col min="1751" max="1751" width="65.83203125" style="67" customWidth="1"/>
    <col min="1752" max="2004" width="9.1640625" style="67"/>
    <col min="2005" max="2005" width="16.5" style="67" customWidth="1"/>
    <col min="2006" max="2006" width="8.1640625" style="67" customWidth="1"/>
    <col min="2007" max="2007" width="65.83203125" style="67" customWidth="1"/>
    <col min="2008" max="2260" width="9.1640625" style="67"/>
    <col min="2261" max="2261" width="16.5" style="67" customWidth="1"/>
    <col min="2262" max="2262" width="8.1640625" style="67" customWidth="1"/>
    <col min="2263" max="2263" width="65.83203125" style="67" customWidth="1"/>
    <col min="2264" max="2516" width="9.1640625" style="67"/>
    <col min="2517" max="2517" width="16.5" style="67" customWidth="1"/>
    <col min="2518" max="2518" width="8.1640625" style="67" customWidth="1"/>
    <col min="2519" max="2519" width="65.83203125" style="67" customWidth="1"/>
    <col min="2520" max="2772" width="9.1640625" style="67"/>
    <col min="2773" max="2773" width="16.5" style="67" customWidth="1"/>
    <col min="2774" max="2774" width="8.1640625" style="67" customWidth="1"/>
    <col min="2775" max="2775" width="65.83203125" style="67" customWidth="1"/>
    <col min="2776" max="3028" width="9.1640625" style="67"/>
    <col min="3029" max="3029" width="16.5" style="67" customWidth="1"/>
    <col min="3030" max="3030" width="8.1640625" style="67" customWidth="1"/>
    <col min="3031" max="3031" width="65.83203125" style="67" customWidth="1"/>
    <col min="3032" max="3284" width="9.1640625" style="67"/>
    <col min="3285" max="3285" width="16.5" style="67" customWidth="1"/>
    <col min="3286" max="3286" width="8.1640625" style="67" customWidth="1"/>
    <col min="3287" max="3287" width="65.83203125" style="67" customWidth="1"/>
    <col min="3288" max="3540" width="9.1640625" style="67"/>
    <col min="3541" max="3541" width="16.5" style="67" customWidth="1"/>
    <col min="3542" max="3542" width="8.1640625" style="67" customWidth="1"/>
    <col min="3543" max="3543" width="65.83203125" style="67" customWidth="1"/>
    <col min="3544" max="3796" width="9.1640625" style="67"/>
    <col min="3797" max="3797" width="16.5" style="67" customWidth="1"/>
    <col min="3798" max="3798" width="8.1640625" style="67" customWidth="1"/>
    <col min="3799" max="3799" width="65.83203125" style="67" customWidth="1"/>
    <col min="3800" max="4052" width="9.1640625" style="67"/>
    <col min="4053" max="4053" width="16.5" style="67" customWidth="1"/>
    <col min="4054" max="4054" width="8.1640625" style="67" customWidth="1"/>
    <col min="4055" max="4055" width="65.83203125" style="67" customWidth="1"/>
    <col min="4056" max="4308" width="9.1640625" style="67"/>
    <col min="4309" max="4309" width="16.5" style="67" customWidth="1"/>
    <col min="4310" max="4310" width="8.1640625" style="67" customWidth="1"/>
    <col min="4311" max="4311" width="65.83203125" style="67" customWidth="1"/>
    <col min="4312" max="4564" width="9.1640625" style="67"/>
    <col min="4565" max="4565" width="16.5" style="67" customWidth="1"/>
    <col min="4566" max="4566" width="8.1640625" style="67" customWidth="1"/>
    <col min="4567" max="4567" width="65.83203125" style="67" customWidth="1"/>
    <col min="4568" max="4820" width="9.1640625" style="67"/>
    <col min="4821" max="4821" width="16.5" style="67" customWidth="1"/>
    <col min="4822" max="4822" width="8.1640625" style="67" customWidth="1"/>
    <col min="4823" max="4823" width="65.83203125" style="67" customWidth="1"/>
    <col min="4824" max="5076" width="9.1640625" style="67"/>
    <col min="5077" max="5077" width="16.5" style="67" customWidth="1"/>
    <col min="5078" max="5078" width="8.1640625" style="67" customWidth="1"/>
    <col min="5079" max="5079" width="65.83203125" style="67" customWidth="1"/>
    <col min="5080" max="5332" width="9.1640625" style="67"/>
    <col min="5333" max="5333" width="16.5" style="67" customWidth="1"/>
    <col min="5334" max="5334" width="8.1640625" style="67" customWidth="1"/>
    <col min="5335" max="5335" width="65.83203125" style="67" customWidth="1"/>
    <col min="5336" max="5588" width="9.1640625" style="67"/>
    <col min="5589" max="5589" width="16.5" style="67" customWidth="1"/>
    <col min="5590" max="5590" width="8.1640625" style="67" customWidth="1"/>
    <col min="5591" max="5591" width="65.83203125" style="67" customWidth="1"/>
    <col min="5592" max="5844" width="9.1640625" style="67"/>
    <col min="5845" max="5845" width="16.5" style="67" customWidth="1"/>
    <col min="5846" max="5846" width="8.1640625" style="67" customWidth="1"/>
    <col min="5847" max="5847" width="65.83203125" style="67" customWidth="1"/>
    <col min="5848" max="6100" width="9.1640625" style="67"/>
    <col min="6101" max="6101" width="16.5" style="67" customWidth="1"/>
    <col min="6102" max="6102" width="8.1640625" style="67" customWidth="1"/>
    <col min="6103" max="6103" width="65.83203125" style="67" customWidth="1"/>
    <col min="6104" max="6356" width="9.1640625" style="67"/>
    <col min="6357" max="6357" width="16.5" style="67" customWidth="1"/>
    <col min="6358" max="6358" width="8.1640625" style="67" customWidth="1"/>
    <col min="6359" max="6359" width="65.83203125" style="67" customWidth="1"/>
    <col min="6360" max="6612" width="9.1640625" style="67"/>
    <col min="6613" max="6613" width="16.5" style="67" customWidth="1"/>
    <col min="6614" max="6614" width="8.1640625" style="67" customWidth="1"/>
    <col min="6615" max="6615" width="65.83203125" style="67" customWidth="1"/>
    <col min="6616" max="6868" width="9.1640625" style="67"/>
    <col min="6869" max="6869" width="16.5" style="67" customWidth="1"/>
    <col min="6870" max="6870" width="8.1640625" style="67" customWidth="1"/>
    <col min="6871" max="6871" width="65.83203125" style="67" customWidth="1"/>
    <col min="6872" max="7124" width="9.1640625" style="67"/>
    <col min="7125" max="7125" width="16.5" style="67" customWidth="1"/>
    <col min="7126" max="7126" width="8.1640625" style="67" customWidth="1"/>
    <col min="7127" max="7127" width="65.83203125" style="67" customWidth="1"/>
    <col min="7128" max="7380" width="9.1640625" style="67"/>
    <col min="7381" max="7381" width="16.5" style="67" customWidth="1"/>
    <col min="7382" max="7382" width="8.1640625" style="67" customWidth="1"/>
    <col min="7383" max="7383" width="65.83203125" style="67" customWidth="1"/>
    <col min="7384" max="7636" width="9.1640625" style="67"/>
    <col min="7637" max="7637" width="16.5" style="67" customWidth="1"/>
    <col min="7638" max="7638" width="8.1640625" style="67" customWidth="1"/>
    <col min="7639" max="7639" width="65.83203125" style="67" customWidth="1"/>
    <col min="7640" max="7892" width="9.1640625" style="67"/>
    <col min="7893" max="7893" width="16.5" style="67" customWidth="1"/>
    <col min="7894" max="7894" width="8.1640625" style="67" customWidth="1"/>
    <col min="7895" max="7895" width="65.83203125" style="67" customWidth="1"/>
    <col min="7896" max="8148" width="9.1640625" style="67"/>
    <col min="8149" max="8149" width="16.5" style="67" customWidth="1"/>
    <col min="8150" max="8150" width="8.1640625" style="67" customWidth="1"/>
    <col min="8151" max="8151" width="65.83203125" style="67" customWidth="1"/>
    <col min="8152" max="8404" width="9.1640625" style="67"/>
    <col min="8405" max="8405" width="16.5" style="67" customWidth="1"/>
    <col min="8406" max="8406" width="8.1640625" style="67" customWidth="1"/>
    <col min="8407" max="8407" width="65.83203125" style="67" customWidth="1"/>
    <col min="8408" max="8660" width="9.1640625" style="67"/>
    <col min="8661" max="8661" width="16.5" style="67" customWidth="1"/>
    <col min="8662" max="8662" width="8.1640625" style="67" customWidth="1"/>
    <col min="8663" max="8663" width="65.83203125" style="67" customWidth="1"/>
    <col min="8664" max="8916" width="9.1640625" style="67"/>
    <col min="8917" max="8917" width="16.5" style="67" customWidth="1"/>
    <col min="8918" max="8918" width="8.1640625" style="67" customWidth="1"/>
    <col min="8919" max="8919" width="65.83203125" style="67" customWidth="1"/>
    <col min="8920" max="9172" width="9.1640625" style="67"/>
    <col min="9173" max="9173" width="16.5" style="67" customWidth="1"/>
    <col min="9174" max="9174" width="8.1640625" style="67" customWidth="1"/>
    <col min="9175" max="9175" width="65.83203125" style="67" customWidth="1"/>
    <col min="9176" max="9428" width="9.1640625" style="67"/>
    <col min="9429" max="9429" width="16.5" style="67" customWidth="1"/>
    <col min="9430" max="9430" width="8.1640625" style="67" customWidth="1"/>
    <col min="9431" max="9431" width="65.83203125" style="67" customWidth="1"/>
    <col min="9432" max="9684" width="9.1640625" style="67"/>
    <col min="9685" max="9685" width="16.5" style="67" customWidth="1"/>
    <col min="9686" max="9686" width="8.1640625" style="67" customWidth="1"/>
    <col min="9687" max="9687" width="65.83203125" style="67" customWidth="1"/>
    <col min="9688" max="9940" width="9.1640625" style="67"/>
    <col min="9941" max="9941" width="16.5" style="67" customWidth="1"/>
    <col min="9942" max="9942" width="8.1640625" style="67" customWidth="1"/>
    <col min="9943" max="9943" width="65.83203125" style="67" customWidth="1"/>
    <col min="9944" max="10196" width="9.1640625" style="67"/>
    <col min="10197" max="10197" width="16.5" style="67" customWidth="1"/>
    <col min="10198" max="10198" width="8.1640625" style="67" customWidth="1"/>
    <col min="10199" max="10199" width="65.83203125" style="67" customWidth="1"/>
    <col min="10200" max="10452" width="9.1640625" style="67"/>
    <col min="10453" max="10453" width="16.5" style="67" customWidth="1"/>
    <col min="10454" max="10454" width="8.1640625" style="67" customWidth="1"/>
    <col min="10455" max="10455" width="65.83203125" style="67" customWidth="1"/>
    <col min="10456" max="10708" width="9.1640625" style="67"/>
    <col min="10709" max="10709" width="16.5" style="67" customWidth="1"/>
    <col min="10710" max="10710" width="8.1640625" style="67" customWidth="1"/>
    <col min="10711" max="10711" width="65.83203125" style="67" customWidth="1"/>
    <col min="10712" max="10964" width="9.1640625" style="67"/>
    <col min="10965" max="10965" width="16.5" style="67" customWidth="1"/>
    <col min="10966" max="10966" width="8.1640625" style="67" customWidth="1"/>
    <col min="10967" max="10967" width="65.83203125" style="67" customWidth="1"/>
    <col min="10968" max="11220" width="9.1640625" style="67"/>
    <col min="11221" max="11221" width="16.5" style="67" customWidth="1"/>
    <col min="11222" max="11222" width="8.1640625" style="67" customWidth="1"/>
    <col min="11223" max="11223" width="65.83203125" style="67" customWidth="1"/>
    <col min="11224" max="11476" width="9.1640625" style="67"/>
    <col min="11477" max="11477" width="16.5" style="67" customWidth="1"/>
    <col min="11478" max="11478" width="8.1640625" style="67" customWidth="1"/>
    <col min="11479" max="11479" width="65.83203125" style="67" customWidth="1"/>
    <col min="11480" max="11732" width="9.1640625" style="67"/>
    <col min="11733" max="11733" width="16.5" style="67" customWidth="1"/>
    <col min="11734" max="11734" width="8.1640625" style="67" customWidth="1"/>
    <col min="11735" max="11735" width="65.83203125" style="67" customWidth="1"/>
    <col min="11736" max="11988" width="9.1640625" style="67"/>
    <col min="11989" max="11989" width="16.5" style="67" customWidth="1"/>
    <col min="11990" max="11990" width="8.1640625" style="67" customWidth="1"/>
    <col min="11991" max="11991" width="65.83203125" style="67" customWidth="1"/>
    <col min="11992" max="12244" width="9.1640625" style="67"/>
    <col min="12245" max="12245" width="16.5" style="67" customWidth="1"/>
    <col min="12246" max="12246" width="8.1640625" style="67" customWidth="1"/>
    <col min="12247" max="12247" width="65.83203125" style="67" customWidth="1"/>
    <col min="12248" max="12500" width="9.1640625" style="67"/>
    <col min="12501" max="12501" width="16.5" style="67" customWidth="1"/>
    <col min="12502" max="12502" width="8.1640625" style="67" customWidth="1"/>
    <col min="12503" max="12503" width="65.83203125" style="67" customWidth="1"/>
    <col min="12504" max="12756" width="9.1640625" style="67"/>
    <col min="12757" max="12757" width="16.5" style="67" customWidth="1"/>
    <col min="12758" max="12758" width="8.1640625" style="67" customWidth="1"/>
    <col min="12759" max="12759" width="65.83203125" style="67" customWidth="1"/>
    <col min="12760" max="13012" width="9.1640625" style="67"/>
    <col min="13013" max="13013" width="16.5" style="67" customWidth="1"/>
    <col min="13014" max="13014" width="8.1640625" style="67" customWidth="1"/>
    <col min="13015" max="13015" width="65.83203125" style="67" customWidth="1"/>
    <col min="13016" max="13268" width="9.1640625" style="67"/>
    <col min="13269" max="13269" width="16.5" style="67" customWidth="1"/>
    <col min="13270" max="13270" width="8.1640625" style="67" customWidth="1"/>
    <col min="13271" max="13271" width="65.83203125" style="67" customWidth="1"/>
    <col min="13272" max="13524" width="9.1640625" style="67"/>
    <col min="13525" max="13525" width="16.5" style="67" customWidth="1"/>
    <col min="13526" max="13526" width="8.1640625" style="67" customWidth="1"/>
    <col min="13527" max="13527" width="65.83203125" style="67" customWidth="1"/>
    <col min="13528" max="13780" width="9.1640625" style="67"/>
    <col min="13781" max="13781" width="16.5" style="67" customWidth="1"/>
    <col min="13782" max="13782" width="8.1640625" style="67" customWidth="1"/>
    <col min="13783" max="13783" width="65.83203125" style="67" customWidth="1"/>
    <col min="13784" max="14036" width="9.1640625" style="67"/>
    <col min="14037" max="14037" width="16.5" style="67" customWidth="1"/>
    <col min="14038" max="14038" width="8.1640625" style="67" customWidth="1"/>
    <col min="14039" max="14039" width="65.83203125" style="67" customWidth="1"/>
    <col min="14040" max="14292" width="9.1640625" style="67"/>
    <col min="14293" max="14293" width="16.5" style="67" customWidth="1"/>
    <col min="14294" max="14294" width="8.1640625" style="67" customWidth="1"/>
    <col min="14295" max="14295" width="65.83203125" style="67" customWidth="1"/>
    <col min="14296" max="14548" width="9.1640625" style="67"/>
    <col min="14549" max="14549" width="16.5" style="67" customWidth="1"/>
    <col min="14550" max="14550" width="8.1640625" style="67" customWidth="1"/>
    <col min="14551" max="14551" width="65.83203125" style="67" customWidth="1"/>
    <col min="14552" max="14804" width="9.1640625" style="67"/>
    <col min="14805" max="14805" width="16.5" style="67" customWidth="1"/>
    <col min="14806" max="14806" width="8.1640625" style="67" customWidth="1"/>
    <col min="14807" max="14807" width="65.83203125" style="67" customWidth="1"/>
    <col min="14808" max="15060" width="9.1640625" style="67"/>
    <col min="15061" max="15061" width="16.5" style="67" customWidth="1"/>
    <col min="15062" max="15062" width="8.1640625" style="67" customWidth="1"/>
    <col min="15063" max="15063" width="65.83203125" style="67" customWidth="1"/>
    <col min="15064" max="15316" width="9.1640625" style="67"/>
    <col min="15317" max="15317" width="16.5" style="67" customWidth="1"/>
    <col min="15318" max="15318" width="8.1640625" style="67" customWidth="1"/>
    <col min="15319" max="15319" width="65.83203125" style="67" customWidth="1"/>
    <col min="15320" max="15572" width="9.1640625" style="67"/>
    <col min="15573" max="15573" width="16.5" style="67" customWidth="1"/>
    <col min="15574" max="15574" width="8.1640625" style="67" customWidth="1"/>
    <col min="15575" max="15575" width="65.83203125" style="67" customWidth="1"/>
    <col min="15576" max="15828" width="9.1640625" style="67"/>
    <col min="15829" max="15829" width="16.5" style="67" customWidth="1"/>
    <col min="15830" max="15830" width="8.1640625" style="67" customWidth="1"/>
    <col min="15831" max="15831" width="65.83203125" style="67" customWidth="1"/>
    <col min="15832" max="16084" width="9.1640625" style="67"/>
    <col min="16085" max="16085" width="16.5" style="67" customWidth="1"/>
    <col min="16086" max="16086" width="8.1640625" style="67" customWidth="1"/>
    <col min="16087" max="16087" width="65.83203125" style="67" customWidth="1"/>
    <col min="16088" max="16384" width="9.1640625" style="67"/>
  </cols>
  <sheetData>
    <row r="1" spans="1:49" ht="27" customHeight="1">
      <c r="A1" s="66" t="s">
        <v>1</v>
      </c>
      <c r="B1" s="66"/>
      <c r="C1" s="66"/>
      <c r="E1" s="68"/>
      <c r="I1" s="68">
        <f>+I4-I20</f>
        <v>-36.381206386999999</v>
      </c>
      <c r="L1" s="68">
        <f>+L4-L20</f>
        <v>-57.96029028400001</v>
      </c>
      <c r="O1" s="68">
        <f>+O4-O20</f>
        <v>-76.560000000000059</v>
      </c>
      <c r="R1" s="68"/>
    </row>
    <row r="2" spans="1:49" ht="15.75" customHeight="1">
      <c r="A2" s="517" t="s">
        <v>737</v>
      </c>
      <c r="B2" s="517"/>
      <c r="C2" s="517"/>
      <c r="D2" s="517"/>
      <c r="E2" s="517"/>
    </row>
    <row r="3" spans="1:49" ht="27.75" customHeight="1">
      <c r="A3" s="69"/>
      <c r="B3" s="69">
        <v>2018</v>
      </c>
      <c r="C3" s="69">
        <v>2019</v>
      </c>
      <c r="D3" s="70" t="s">
        <v>151</v>
      </c>
      <c r="E3" s="70" t="s">
        <v>152</v>
      </c>
      <c r="F3" s="71" t="s">
        <v>153</v>
      </c>
      <c r="G3" s="71" t="s">
        <v>154</v>
      </c>
      <c r="H3" s="71" t="s">
        <v>566</v>
      </c>
      <c r="I3" s="71" t="s">
        <v>567</v>
      </c>
      <c r="J3" s="71" t="s">
        <v>562</v>
      </c>
      <c r="K3" s="71" t="s">
        <v>568</v>
      </c>
      <c r="L3" s="71" t="s">
        <v>567</v>
      </c>
      <c r="M3" s="71" t="s">
        <v>563</v>
      </c>
      <c r="N3" s="71" t="s">
        <v>660</v>
      </c>
      <c r="O3" s="71" t="s">
        <v>567</v>
      </c>
      <c r="P3" s="71" t="s">
        <v>661</v>
      </c>
      <c r="Q3" s="71" t="s">
        <v>662</v>
      </c>
      <c r="R3" s="71" t="s">
        <v>567</v>
      </c>
      <c r="S3" s="71" t="s">
        <v>663</v>
      </c>
      <c r="T3" s="71" t="s">
        <v>684</v>
      </c>
      <c r="U3" s="71" t="s">
        <v>567</v>
      </c>
      <c r="V3" s="71" t="s">
        <v>685</v>
      </c>
      <c r="W3" s="71" t="s">
        <v>686</v>
      </c>
      <c r="X3" s="71" t="s">
        <v>567</v>
      </c>
      <c r="Y3" s="71" t="s">
        <v>687</v>
      </c>
      <c r="Z3" s="71" t="s">
        <v>688</v>
      </c>
      <c r="AA3" s="71" t="s">
        <v>567</v>
      </c>
      <c r="AB3" s="71" t="s">
        <v>689</v>
      </c>
      <c r="AC3" s="71" t="s">
        <v>712</v>
      </c>
      <c r="AD3" s="71" t="s">
        <v>567</v>
      </c>
      <c r="AE3" s="71" t="s">
        <v>739</v>
      </c>
      <c r="AF3" s="71" t="s">
        <v>713</v>
      </c>
      <c r="AG3" s="71" t="s">
        <v>567</v>
      </c>
      <c r="AH3" s="71" t="s">
        <v>740</v>
      </c>
      <c r="AI3" s="71" t="s">
        <v>716</v>
      </c>
      <c r="AJ3" s="71" t="s">
        <v>567</v>
      </c>
      <c r="AK3" s="71" t="s">
        <v>719</v>
      </c>
      <c r="AL3" s="71" t="s">
        <v>722</v>
      </c>
      <c r="AM3" s="71" t="s">
        <v>567</v>
      </c>
      <c r="AN3" s="71" t="s">
        <v>723</v>
      </c>
      <c r="AO3" s="71" t="s">
        <v>725</v>
      </c>
      <c r="AP3" s="71" t="s">
        <v>567</v>
      </c>
      <c r="AQ3" s="71" t="s">
        <v>738</v>
      </c>
      <c r="AR3" s="71" t="s">
        <v>733</v>
      </c>
      <c r="AS3" s="71" t="s">
        <v>567</v>
      </c>
      <c r="AT3" s="71" t="s">
        <v>735</v>
      </c>
      <c r="AU3" s="71" t="s">
        <v>734</v>
      </c>
      <c r="AV3" s="71" t="s">
        <v>567</v>
      </c>
      <c r="AW3" s="71" t="s">
        <v>736</v>
      </c>
    </row>
    <row r="4" spans="1:49" ht="16">
      <c r="A4" s="72" t="s">
        <v>155</v>
      </c>
      <c r="B4" s="73">
        <v>2207.3819051111</v>
      </c>
      <c r="C4" s="73">
        <v>2074.33</v>
      </c>
      <c r="D4" s="73">
        <v>512.52</v>
      </c>
      <c r="E4" s="73">
        <v>1055.3400000000001</v>
      </c>
      <c r="F4" s="73">
        <v>1734.1386935856481</v>
      </c>
      <c r="G4" s="73">
        <v>2615.1583009809997</v>
      </c>
      <c r="H4" s="73">
        <f>+H5+H12+H13+H14</f>
        <v>487.90362285599991</v>
      </c>
      <c r="I4" s="73">
        <f>+I5+I12+I13+I14</f>
        <v>56.936738898999998</v>
      </c>
      <c r="J4" s="73">
        <f>+J5+J12+J13+J14</f>
        <v>430.96688395699988</v>
      </c>
      <c r="K4" s="73">
        <f>+K5+K12+K13+K14</f>
        <v>1278.8523024836895</v>
      </c>
      <c r="L4" s="73">
        <f t="shared" ref="L4:M4" si="0">+L5+L12+L13+L14</f>
        <v>127.07502849399999</v>
      </c>
      <c r="M4" s="73">
        <f t="shared" si="0"/>
        <v>1151.77727398969</v>
      </c>
      <c r="N4" s="73">
        <f>+N5+N12+N13+N14</f>
        <v>1983.4846828400734</v>
      </c>
      <c r="O4" s="73">
        <f t="shared" ref="O4" si="1">+O5+O12+O13+O14</f>
        <v>268.13</v>
      </c>
      <c r="P4" s="73">
        <f>+P5+P12+P13+P14</f>
        <v>1715.3546828400733</v>
      </c>
      <c r="Q4" s="73">
        <v>2979.4156921510057</v>
      </c>
      <c r="R4" s="73">
        <f>+R5+R12+R13+R14</f>
        <v>316.06</v>
      </c>
      <c r="S4" s="73">
        <f>+Q4-R4</f>
        <v>2663.3556921510058</v>
      </c>
      <c r="T4" s="73">
        <v>702.58994418894315</v>
      </c>
      <c r="U4" s="73">
        <f>+U5+U12+U13+U14</f>
        <v>21.9</v>
      </c>
      <c r="V4" s="73">
        <f>+T4-U4</f>
        <v>680.68994418894317</v>
      </c>
      <c r="W4" s="73">
        <v>1644.3348570017122</v>
      </c>
      <c r="X4" s="73">
        <f>+X5+X12+X13+X14</f>
        <v>142.78119079799998</v>
      </c>
      <c r="Y4" s="73">
        <f>+W4-X4</f>
        <v>1501.5536662037123</v>
      </c>
      <c r="Z4" s="73">
        <v>2514.4138405964122</v>
      </c>
      <c r="AA4" s="73">
        <f>+AA5+AA12+AA13+AA14</f>
        <v>197.855750325</v>
      </c>
      <c r="AB4" s="73">
        <f>+Z4-AA4</f>
        <v>2316.5580902714123</v>
      </c>
      <c r="AC4" s="73">
        <v>3545.7302880361831</v>
      </c>
      <c r="AD4" s="73">
        <v>224.517</v>
      </c>
      <c r="AE4" s="73">
        <v>3321.2132880361833</v>
      </c>
      <c r="AF4" s="73">
        <v>790.64450891774368</v>
      </c>
      <c r="AG4" s="73">
        <v>45.532861577999995</v>
      </c>
      <c r="AH4" s="73">
        <v>745.11164733974374</v>
      </c>
      <c r="AI4" s="73">
        <v>1834.6965217843381</v>
      </c>
      <c r="AJ4" s="73">
        <v>127.71056286300001</v>
      </c>
      <c r="AK4" s="73">
        <v>1706.9859589213381</v>
      </c>
      <c r="AL4" s="73">
        <v>2766.4572854582048</v>
      </c>
      <c r="AM4" s="73">
        <v>213.20000000000002</v>
      </c>
      <c r="AN4" s="73">
        <v>2553.2572854582049</v>
      </c>
      <c r="AO4" s="73">
        <v>3913.9361800990623</v>
      </c>
      <c r="AP4" s="73">
        <v>278.52</v>
      </c>
      <c r="AQ4" s="73">
        <v>3635.4161800990623</v>
      </c>
      <c r="AR4" s="73">
        <v>803.8887624112831</v>
      </c>
      <c r="AS4" s="73">
        <v>88.610000000000014</v>
      </c>
      <c r="AT4" s="73">
        <v>892.49876241128311</v>
      </c>
      <c r="AU4" s="73">
        <v>1896.2515297692335</v>
      </c>
      <c r="AV4" s="73">
        <v>153.31</v>
      </c>
      <c r="AW4" s="73">
        <v>2049.5615297692334</v>
      </c>
    </row>
    <row r="5" spans="1:49" ht="16">
      <c r="A5" s="74" t="s">
        <v>156</v>
      </c>
      <c r="B5" s="75">
        <v>1796.4136410153301</v>
      </c>
      <c r="C5" s="75">
        <v>2074.33</v>
      </c>
      <c r="D5" s="75">
        <v>456.89</v>
      </c>
      <c r="E5" s="75">
        <v>1055.3400000000001</v>
      </c>
      <c r="F5" s="75">
        <v>1495.0631228450002</v>
      </c>
      <c r="G5" s="75">
        <v>2140.623899786</v>
      </c>
      <c r="H5" s="75">
        <f>+SO_APU_1!D7</f>
        <v>460.41323274499996</v>
      </c>
      <c r="I5" s="75">
        <f>+I6+I7+I8+I9+I10+I11</f>
        <v>56.936738898999998</v>
      </c>
      <c r="J5" s="75">
        <f>+J6+J7+J8+J9+J10+J11</f>
        <v>403.47649384599993</v>
      </c>
      <c r="K5" s="75">
        <f>+SO_APU_1!E7</f>
        <v>1144.1928675796894</v>
      </c>
      <c r="L5" s="75">
        <f>+L6+L7+L8+L9+L10+L11</f>
        <v>127.07502849399999</v>
      </c>
      <c r="M5" s="75">
        <f>+M6+M7+M8+M9+M10+M11</f>
        <v>1017.1178390856901</v>
      </c>
      <c r="N5" s="75">
        <f>+N6+N7+N8+N9+N10+N11</f>
        <v>1805.6131781137401</v>
      </c>
      <c r="O5" s="75">
        <f>+O6+O7+O8+O9+O10+O11</f>
        <v>268.13</v>
      </c>
      <c r="P5" s="75">
        <f>+P6+P7+P8+P9+P10+P11</f>
        <v>1537.48317811374</v>
      </c>
      <c r="Q5" s="75">
        <v>2594.0753609434501</v>
      </c>
      <c r="R5" s="75">
        <f>+R6+R7+R8+R9+R10+R11</f>
        <v>316.06</v>
      </c>
      <c r="S5" s="75">
        <f t="shared" ref="S5:S48" si="2">+Q5-R5</f>
        <v>2278.0153609434501</v>
      </c>
      <c r="T5" s="75">
        <v>660.03918472210978</v>
      </c>
      <c r="U5" s="75">
        <f>+U6+U7+U8+U9+U10+U11</f>
        <v>21.9</v>
      </c>
      <c r="V5" s="75">
        <f t="shared" ref="V5:V50" si="3">+T5-U5</f>
        <v>638.1391847221098</v>
      </c>
      <c r="W5" s="75">
        <v>1506.88847424859</v>
      </c>
      <c r="X5" s="75">
        <f>+SUM(X6:X11)</f>
        <v>142.78119079799998</v>
      </c>
      <c r="Y5" s="75">
        <f t="shared" ref="Y5:Y50" si="4">+W5-X5</f>
        <v>1364.1072834505901</v>
      </c>
      <c r="Z5" s="75">
        <v>2263.5911820062902</v>
      </c>
      <c r="AA5" s="75">
        <f>+SUM(AA6:AA11)</f>
        <v>197.855750325</v>
      </c>
      <c r="AB5" s="75">
        <f t="shared" ref="AB5:AB50" si="5">+Z5-AA5</f>
        <v>2065.7354316812903</v>
      </c>
      <c r="AC5" s="75">
        <v>3133.9532110873502</v>
      </c>
      <c r="AD5" s="75">
        <v>224.517</v>
      </c>
      <c r="AE5" s="75">
        <v>2909.4362110873503</v>
      </c>
      <c r="AF5" s="75">
        <v>707.4394507599103</v>
      </c>
      <c r="AG5" s="75">
        <v>45.532861577999995</v>
      </c>
      <c r="AH5" s="75">
        <v>661.90658918191025</v>
      </c>
      <c r="AI5" s="75">
        <v>1668.3197259579101</v>
      </c>
      <c r="AJ5" s="75">
        <v>127.71056286300001</v>
      </c>
      <c r="AK5" s="75">
        <v>1540.6091630949102</v>
      </c>
      <c r="AL5" s="75">
        <v>2496.1858668151103</v>
      </c>
      <c r="AM5" s="75">
        <v>213.20000000000002</v>
      </c>
      <c r="AN5" s="75">
        <v>2282.9858668151105</v>
      </c>
      <c r="AO5" s="75">
        <v>3515.980963006301</v>
      </c>
      <c r="AP5" s="75">
        <v>278.52</v>
      </c>
      <c r="AQ5" s="75">
        <v>3237.460963006301</v>
      </c>
      <c r="AR5" s="75">
        <v>736.04295568894975</v>
      </c>
      <c r="AS5" s="75">
        <v>88.610000000000014</v>
      </c>
      <c r="AT5" s="75">
        <v>824.65295568894976</v>
      </c>
      <c r="AU5" s="75">
        <v>1789.9179458559001</v>
      </c>
      <c r="AV5" s="75">
        <v>153.31</v>
      </c>
      <c r="AW5" s="75">
        <v>1943.2279458559001</v>
      </c>
    </row>
    <row r="6" spans="1:49" ht="16">
      <c r="A6" s="76" t="s">
        <v>11</v>
      </c>
      <c r="B6" s="77">
        <v>534.81200000000001</v>
      </c>
      <c r="C6" s="77">
        <v>631.29</v>
      </c>
      <c r="D6" s="77">
        <v>165.76999999999998</v>
      </c>
      <c r="E6" s="77">
        <v>389.24</v>
      </c>
      <c r="F6" s="77">
        <v>505.43685666400006</v>
      </c>
      <c r="G6" s="77">
        <v>667.31315595900003</v>
      </c>
      <c r="H6" s="77">
        <f>+SO_APU_1!D8</f>
        <v>158.781411408</v>
      </c>
      <c r="I6" s="77">
        <f>10.698738899+5.6+0.199+0.197+0.192</f>
        <v>16.886738899000001</v>
      </c>
      <c r="J6" s="77">
        <f>+H6-I6</f>
        <v>141.894672509</v>
      </c>
      <c r="K6" s="77">
        <f>+SO_APU_1!E8</f>
        <v>404.30110311129005</v>
      </c>
      <c r="L6" s="77">
        <f>23.675028494+14.69+1.19</f>
        <v>39.555028493999998</v>
      </c>
      <c r="M6" s="77">
        <f>+K6-L6</f>
        <v>364.74607461729005</v>
      </c>
      <c r="N6" s="77">
        <v>579.08119444528995</v>
      </c>
      <c r="O6" s="77">
        <f>35.95+29.9+16.3+1.51</f>
        <v>83.66</v>
      </c>
      <c r="P6" s="77">
        <f>+N6-O6</f>
        <v>495.42119444528998</v>
      </c>
      <c r="Q6" s="77">
        <v>771.47792876849996</v>
      </c>
      <c r="R6" s="77">
        <f>48.2+29.9+17.49</f>
        <v>95.589999999999989</v>
      </c>
      <c r="S6" s="77">
        <f t="shared" si="2"/>
        <v>675.88792876849993</v>
      </c>
      <c r="T6" s="77">
        <v>223.40758967891</v>
      </c>
      <c r="U6" s="77">
        <v>11.83</v>
      </c>
      <c r="V6" s="77">
        <f t="shared" si="3"/>
        <v>211.57758967890999</v>
      </c>
      <c r="W6" s="77">
        <v>537.01940126938007</v>
      </c>
      <c r="X6" s="77">
        <f>23.562653783+12.59</f>
        <v>36.152653782999998</v>
      </c>
      <c r="Y6" s="77">
        <f t="shared" si="4"/>
        <v>500.86674748638006</v>
      </c>
      <c r="Z6" s="77">
        <v>784.52103345448006</v>
      </c>
      <c r="AA6" s="77">
        <f>35.944320359+17.43</f>
        <v>53.374320359000002</v>
      </c>
      <c r="AB6" s="77">
        <f t="shared" si="5"/>
        <v>731.1467130954801</v>
      </c>
      <c r="AC6" s="77">
        <v>985.34285063937</v>
      </c>
      <c r="AD6" s="77">
        <v>70.23</v>
      </c>
      <c r="AE6" s="77">
        <v>915.11285063936998</v>
      </c>
      <c r="AF6" s="77">
        <v>258.96086524666003</v>
      </c>
      <c r="AG6" s="77">
        <v>10.993595392</v>
      </c>
      <c r="AH6" s="77">
        <v>247.96726985466003</v>
      </c>
      <c r="AI6" s="77">
        <v>658.77448667765998</v>
      </c>
      <c r="AJ6" s="77">
        <v>21.734694804</v>
      </c>
      <c r="AK6" s="77">
        <v>637.03979187365996</v>
      </c>
      <c r="AL6" s="77">
        <v>866.56015084666001</v>
      </c>
      <c r="AM6" s="77">
        <v>33.85</v>
      </c>
      <c r="AN6" s="77">
        <v>832.71015084665999</v>
      </c>
      <c r="AO6" s="77">
        <v>1152.29392444166</v>
      </c>
      <c r="AP6" s="77">
        <v>45.53</v>
      </c>
      <c r="AQ6" s="77">
        <v>1106.76392444166</v>
      </c>
      <c r="AR6" s="77">
        <v>260.58571981799997</v>
      </c>
      <c r="AS6" s="77">
        <v>12.71</v>
      </c>
      <c r="AT6" s="77">
        <v>273.29571981799995</v>
      </c>
      <c r="AU6" s="77">
        <v>736.2342108009999</v>
      </c>
      <c r="AV6" s="77">
        <v>25.11</v>
      </c>
      <c r="AW6" s="77">
        <v>761.34421080099992</v>
      </c>
    </row>
    <row r="7" spans="1:49" ht="16">
      <c r="A7" s="76" t="s">
        <v>157</v>
      </c>
      <c r="B7" s="77">
        <v>5.2826519703999999</v>
      </c>
      <c r="C7" s="77">
        <v>8.9499999999999993</v>
      </c>
      <c r="D7" s="77">
        <v>2.33</v>
      </c>
      <c r="E7" s="77">
        <v>4.04</v>
      </c>
      <c r="F7" s="77">
        <v>5.8334446350000002</v>
      </c>
      <c r="G7" s="77">
        <v>7.9963573770000007</v>
      </c>
      <c r="H7" s="77">
        <f>+SO_APU_1!D12</f>
        <v>1.921539458</v>
      </c>
      <c r="I7" s="77"/>
      <c r="J7" s="77">
        <f t="shared" ref="J7:J11" si="6">+H7-I7</f>
        <v>1.921539458</v>
      </c>
      <c r="K7" s="77">
        <f>+SO_APU_1!E12</f>
        <v>4.2055747532499996</v>
      </c>
      <c r="L7" s="77"/>
      <c r="M7" s="77">
        <f t="shared" ref="M7:M11" si="7">+K7-L7</f>
        <v>4.2055747532499996</v>
      </c>
      <c r="N7" s="77">
        <v>6.8843645179999999</v>
      </c>
      <c r="O7" s="77"/>
      <c r="P7" s="77">
        <f t="shared" ref="P7:P11" si="8">+N7-O7</f>
        <v>6.8843645179999999</v>
      </c>
      <c r="Q7" s="77">
        <v>33.062512137100001</v>
      </c>
      <c r="R7" s="77"/>
      <c r="S7" s="77">
        <f t="shared" si="2"/>
        <v>33.062512137100001</v>
      </c>
      <c r="T7" s="77">
        <v>10.1247747522</v>
      </c>
      <c r="U7" s="77"/>
      <c r="V7" s="77">
        <f t="shared" si="3"/>
        <v>10.1247747522</v>
      </c>
      <c r="W7" s="77">
        <v>19.022675561710003</v>
      </c>
      <c r="X7" s="77"/>
      <c r="Y7" s="77">
        <f t="shared" si="4"/>
        <v>19.022675561710003</v>
      </c>
      <c r="Z7" s="77">
        <v>28.376940046310004</v>
      </c>
      <c r="AA7" s="77"/>
      <c r="AB7" s="77">
        <f t="shared" si="5"/>
        <v>28.376940046310004</v>
      </c>
      <c r="AC7" s="77">
        <v>38.238699093189993</v>
      </c>
      <c r="AD7" s="77"/>
      <c r="AE7" s="77">
        <v>38.238699093189993</v>
      </c>
      <c r="AF7" s="77">
        <v>10.793714689999998</v>
      </c>
      <c r="AG7" s="77"/>
      <c r="AH7" s="77">
        <v>10.793714689999998</v>
      </c>
      <c r="AI7" s="77">
        <v>21.224385453</v>
      </c>
      <c r="AJ7" s="77"/>
      <c r="AK7" s="77">
        <v>21.224385453</v>
      </c>
      <c r="AL7" s="77">
        <v>31.253956956000003</v>
      </c>
      <c r="AM7" s="77"/>
      <c r="AN7" s="77">
        <v>31.253956956000003</v>
      </c>
      <c r="AO7" s="77">
        <v>41.193873606000004</v>
      </c>
      <c r="AP7" s="77"/>
      <c r="AQ7" s="77">
        <v>41.193873606000004</v>
      </c>
      <c r="AR7" s="77">
        <v>10.656928555999999</v>
      </c>
      <c r="AS7" s="77"/>
      <c r="AT7" s="77">
        <v>10.656928555999999</v>
      </c>
      <c r="AU7" s="77">
        <v>22.026307235999997</v>
      </c>
      <c r="AV7" s="77"/>
      <c r="AW7" s="77">
        <v>22.026307235999997</v>
      </c>
    </row>
    <row r="8" spans="1:49" ht="16">
      <c r="A8" s="76" t="s">
        <v>18</v>
      </c>
      <c r="B8" s="77">
        <v>39.268599039229329</v>
      </c>
      <c r="C8" s="77">
        <v>40.4</v>
      </c>
      <c r="D8" s="77">
        <v>7.06</v>
      </c>
      <c r="E8" s="77">
        <v>24.82</v>
      </c>
      <c r="F8" s="77">
        <v>31.592863865999998</v>
      </c>
      <c r="G8" s="77">
        <v>42.048001009999993</v>
      </c>
      <c r="H8" s="77">
        <f>+SO_APU_1!D13</f>
        <v>7.99906351</v>
      </c>
      <c r="I8" s="77"/>
      <c r="J8" s="77">
        <f t="shared" si="6"/>
        <v>7.99906351</v>
      </c>
      <c r="K8" s="77">
        <f>+SO_APU_1!E13</f>
        <v>34.629260981999998</v>
      </c>
      <c r="L8" s="77"/>
      <c r="M8" s="77">
        <f t="shared" si="7"/>
        <v>34.629260981999998</v>
      </c>
      <c r="N8" s="77">
        <v>43.891844999</v>
      </c>
      <c r="O8" s="77"/>
      <c r="P8" s="77">
        <f t="shared" si="8"/>
        <v>43.891844999</v>
      </c>
      <c r="Q8" s="77">
        <v>55.474567048000004</v>
      </c>
      <c r="R8" s="77"/>
      <c r="S8" s="77">
        <f t="shared" si="2"/>
        <v>55.474567048000004</v>
      </c>
      <c r="T8" s="77">
        <v>21.528713215</v>
      </c>
      <c r="U8" s="77"/>
      <c r="V8" s="77">
        <f t="shared" si="3"/>
        <v>21.528713215</v>
      </c>
      <c r="W8" s="77">
        <v>31.960797806999999</v>
      </c>
      <c r="X8" s="77"/>
      <c r="Y8" s="77">
        <f t="shared" si="4"/>
        <v>31.960797806999999</v>
      </c>
      <c r="Z8" s="77">
        <v>40.088014072</v>
      </c>
      <c r="AA8" s="77"/>
      <c r="AB8" s="77">
        <f t="shared" si="5"/>
        <v>40.088014072</v>
      </c>
      <c r="AC8" s="77">
        <v>52.665298086999996</v>
      </c>
      <c r="AD8" s="77"/>
      <c r="AE8" s="77">
        <v>52.665298086999996</v>
      </c>
      <c r="AF8" s="77">
        <v>9.105482748</v>
      </c>
      <c r="AG8" s="77"/>
      <c r="AH8" s="77">
        <v>9.105482748</v>
      </c>
      <c r="AI8" s="77">
        <v>41.942595977000003</v>
      </c>
      <c r="AJ8" s="77"/>
      <c r="AK8" s="77">
        <v>41.942595977000003</v>
      </c>
      <c r="AL8" s="77">
        <v>51.512536893000004</v>
      </c>
      <c r="AM8" s="77"/>
      <c r="AN8" s="77">
        <v>51.512536893000004</v>
      </c>
      <c r="AO8" s="77">
        <v>65.127727252999989</v>
      </c>
      <c r="AP8" s="77"/>
      <c r="AQ8" s="77">
        <v>65.127727252999989</v>
      </c>
      <c r="AR8" s="77">
        <v>8.5738648669999993</v>
      </c>
      <c r="AS8" s="77"/>
      <c r="AT8" s="77">
        <v>8.5738648669999993</v>
      </c>
      <c r="AU8" s="77">
        <v>40.863100599999996</v>
      </c>
      <c r="AV8" s="77"/>
      <c r="AW8" s="77">
        <v>40.863100599999996</v>
      </c>
    </row>
    <row r="9" spans="1:49" ht="16">
      <c r="A9" s="76" t="s">
        <v>20</v>
      </c>
      <c r="B9" s="77">
        <v>890.73952272669999</v>
      </c>
      <c r="C9" s="77">
        <v>1014.7</v>
      </c>
      <c r="D9" s="77">
        <v>211.17</v>
      </c>
      <c r="E9" s="77">
        <v>473.84000000000003</v>
      </c>
      <c r="F9" s="77">
        <v>711.87043185799996</v>
      </c>
      <c r="G9" s="77">
        <v>1067.7302671759999</v>
      </c>
      <c r="H9" s="77">
        <f>+SO_APU_1!D14</f>
        <v>217.29660369499999</v>
      </c>
      <c r="I9" s="77">
        <f>21.7+17.2+1.15</f>
        <v>40.049999999999997</v>
      </c>
      <c r="J9" s="77">
        <f t="shared" si="6"/>
        <v>177.24660369499998</v>
      </c>
      <c r="K9" s="77">
        <f>+SO_APU_1!E14</f>
        <v>526.73653302815001</v>
      </c>
      <c r="L9" s="77">
        <f>47.5+37.32+2.7</f>
        <v>87.52</v>
      </c>
      <c r="M9" s="77">
        <f t="shared" si="7"/>
        <v>439.21653302815002</v>
      </c>
      <c r="N9" s="77">
        <v>886.71672159845002</v>
      </c>
      <c r="O9" s="77">
        <f>59.13+13.98+111.36</f>
        <v>184.47</v>
      </c>
      <c r="P9" s="77">
        <f>+N9-O9</f>
        <v>702.24672159844999</v>
      </c>
      <c r="Q9" s="77">
        <v>1293.04586622585</v>
      </c>
      <c r="R9" s="77">
        <f>72.01+39+4.94+20.13+30.99+53.4</f>
        <v>220.47000000000003</v>
      </c>
      <c r="S9" s="77">
        <f t="shared" si="2"/>
        <v>1072.5758662258499</v>
      </c>
      <c r="T9" s="77">
        <v>299.85173362800003</v>
      </c>
      <c r="U9" s="77">
        <v>10.07</v>
      </c>
      <c r="V9" s="77">
        <f t="shared" si="3"/>
        <v>289.78173362800004</v>
      </c>
      <c r="W9" s="77">
        <v>688.26827867550003</v>
      </c>
      <c r="X9" s="77">
        <f>31.288537015+6.24+59.8+9.3</f>
        <v>106.62853701499999</v>
      </c>
      <c r="Y9" s="77">
        <f t="shared" si="4"/>
        <v>581.63974166050002</v>
      </c>
      <c r="Z9" s="77">
        <v>1046.0381950195001</v>
      </c>
      <c r="AA9" s="77">
        <f>41.471429966+9.23+78.68+15.1</f>
        <v>144.48142996600001</v>
      </c>
      <c r="AB9" s="77">
        <f t="shared" si="5"/>
        <v>901.55676505350016</v>
      </c>
      <c r="AC9" s="77">
        <v>1516.6037566107902</v>
      </c>
      <c r="AD9" s="77">
        <v>154.28700000000001</v>
      </c>
      <c r="AE9" s="77">
        <v>1362.3167566107902</v>
      </c>
      <c r="AF9" s="77">
        <v>315.26602084524995</v>
      </c>
      <c r="AG9" s="77">
        <v>34.539266185999999</v>
      </c>
      <c r="AH9" s="77">
        <v>280.72675465924993</v>
      </c>
      <c r="AI9" s="77">
        <v>718.15498544725006</v>
      </c>
      <c r="AJ9" s="77">
        <v>105.97586805900001</v>
      </c>
      <c r="AK9" s="77">
        <v>612.17911738825001</v>
      </c>
      <c r="AL9" s="77">
        <v>1185.8157209090282</v>
      </c>
      <c r="AM9" s="77">
        <v>179.35000000000002</v>
      </c>
      <c r="AN9" s="77">
        <v>1006.4657209090282</v>
      </c>
      <c r="AO9" s="77">
        <v>1736.9948519315881</v>
      </c>
      <c r="AP9" s="77">
        <v>232.99</v>
      </c>
      <c r="AQ9" s="77">
        <v>1504.0048519315881</v>
      </c>
      <c r="AR9" s="77">
        <v>341.15071195794997</v>
      </c>
      <c r="AS9" s="77">
        <v>75.900000000000006</v>
      </c>
      <c r="AT9" s="77">
        <v>417.05071195794994</v>
      </c>
      <c r="AU9" s="77">
        <v>751.0060910668999</v>
      </c>
      <c r="AV9" s="77">
        <v>128.19999999999999</v>
      </c>
      <c r="AW9" s="77">
        <v>879.20609106689994</v>
      </c>
    </row>
    <row r="10" spans="1:49" ht="16">
      <c r="A10" s="76" t="s">
        <v>158</v>
      </c>
      <c r="B10" s="77">
        <v>290.33861189000004</v>
      </c>
      <c r="C10" s="77">
        <v>341.64</v>
      </c>
      <c r="D10" s="77">
        <v>63.23</v>
      </c>
      <c r="E10" s="77">
        <v>149.28</v>
      </c>
      <c r="F10" s="77">
        <v>217.83</v>
      </c>
      <c r="G10" s="77">
        <v>320.82841574499997</v>
      </c>
      <c r="H10" s="77">
        <f>+SO_APU_1!D20</f>
        <v>66.039999999999992</v>
      </c>
      <c r="I10" s="77"/>
      <c r="J10" s="77">
        <f t="shared" si="6"/>
        <v>66.039999999999992</v>
      </c>
      <c r="K10" s="77">
        <f>+SO_APU_1!E20</f>
        <v>154.88</v>
      </c>
      <c r="L10" s="77"/>
      <c r="M10" s="77">
        <f t="shared" si="7"/>
        <v>154.88</v>
      </c>
      <c r="N10" s="77">
        <v>257.7</v>
      </c>
      <c r="O10" s="77"/>
      <c r="P10" s="77">
        <f t="shared" si="8"/>
        <v>257.7</v>
      </c>
      <c r="Q10" s="77">
        <v>393.55</v>
      </c>
      <c r="R10" s="77"/>
      <c r="S10" s="77">
        <f t="shared" si="2"/>
        <v>393.55</v>
      </c>
      <c r="T10" s="77">
        <v>94.97999999999999</v>
      </c>
      <c r="U10" s="77"/>
      <c r="V10" s="77">
        <f t="shared" si="3"/>
        <v>94.97999999999999</v>
      </c>
      <c r="W10" s="77">
        <v>209.84999999999997</v>
      </c>
      <c r="X10" s="77"/>
      <c r="Y10" s="77">
        <f t="shared" si="4"/>
        <v>209.84999999999997</v>
      </c>
      <c r="Z10" s="77">
        <v>332.53999999999991</v>
      </c>
      <c r="AA10" s="77"/>
      <c r="AB10" s="77">
        <f t="shared" si="5"/>
        <v>332.53999999999991</v>
      </c>
      <c r="AC10" s="77">
        <v>497.2</v>
      </c>
      <c r="AD10" s="77"/>
      <c r="AE10" s="77">
        <v>497.2</v>
      </c>
      <c r="AF10" s="77">
        <v>102.782110219</v>
      </c>
      <c r="AG10" s="77"/>
      <c r="AH10" s="77">
        <v>102.782110219</v>
      </c>
      <c r="AI10" s="77">
        <v>206.45176062600001</v>
      </c>
      <c r="AJ10" s="77"/>
      <c r="AK10" s="77">
        <v>206.45176062600001</v>
      </c>
      <c r="AL10" s="77">
        <v>326.47138907442189</v>
      </c>
      <c r="AM10" s="77"/>
      <c r="AN10" s="77">
        <v>326.47138907442189</v>
      </c>
      <c r="AO10" s="77">
        <v>470.35962771105193</v>
      </c>
      <c r="AP10" s="77"/>
      <c r="AQ10" s="77">
        <v>470.35962771105193</v>
      </c>
      <c r="AR10" s="77">
        <v>98.635301633000012</v>
      </c>
      <c r="AS10" s="77"/>
      <c r="AT10" s="77">
        <v>98.635301633000012</v>
      </c>
      <c r="AU10" s="77">
        <v>211.59785196800001</v>
      </c>
      <c r="AV10" s="77"/>
      <c r="AW10" s="77">
        <v>211.59785196800001</v>
      </c>
    </row>
    <row r="11" spans="1:49" ht="16">
      <c r="A11" s="76" t="s">
        <v>159</v>
      </c>
      <c r="B11" s="77">
        <v>35.972255388999997</v>
      </c>
      <c r="C11" s="77">
        <v>37.700000000000003</v>
      </c>
      <c r="D11" s="77">
        <v>7.33</v>
      </c>
      <c r="E11" s="77">
        <v>14.12</v>
      </c>
      <c r="F11" s="77">
        <v>22.499525821999999</v>
      </c>
      <c r="G11" s="77">
        <v>34.707702518999994</v>
      </c>
      <c r="H11" s="77">
        <f>+SO_APU_1!D23</f>
        <v>8.374614674</v>
      </c>
      <c r="I11" s="77"/>
      <c r="J11" s="77">
        <f t="shared" si="6"/>
        <v>8.374614674</v>
      </c>
      <c r="K11" s="77">
        <f>+SO_APU_1!E23</f>
        <v>19.440395705</v>
      </c>
      <c r="L11" s="77"/>
      <c r="M11" s="77">
        <f t="shared" si="7"/>
        <v>19.440395705</v>
      </c>
      <c r="N11" s="77">
        <v>31.339052552999998</v>
      </c>
      <c r="O11" s="77"/>
      <c r="P11" s="77">
        <f t="shared" si="8"/>
        <v>31.339052552999998</v>
      </c>
      <c r="Q11" s="77">
        <v>47.464486764</v>
      </c>
      <c r="R11" s="77"/>
      <c r="S11" s="77">
        <f t="shared" si="2"/>
        <v>47.464486764</v>
      </c>
      <c r="T11" s="77">
        <v>10.146373447999999</v>
      </c>
      <c r="U11" s="77"/>
      <c r="V11" s="77">
        <f t="shared" si="3"/>
        <v>10.146373447999999</v>
      </c>
      <c r="W11" s="77">
        <v>20.767320935000001</v>
      </c>
      <c r="X11" s="77"/>
      <c r="Y11" s="77">
        <f t="shared" si="4"/>
        <v>20.767320935000001</v>
      </c>
      <c r="Z11" s="77">
        <v>32.026999414000002</v>
      </c>
      <c r="AA11" s="77"/>
      <c r="AB11" s="77">
        <f t="shared" si="5"/>
        <v>32.026999414000002</v>
      </c>
      <c r="AC11" s="77">
        <v>43.902606657</v>
      </c>
      <c r="AD11" s="77"/>
      <c r="AE11" s="77">
        <v>43.902606657</v>
      </c>
      <c r="AF11" s="77">
        <v>10.531257011000001</v>
      </c>
      <c r="AG11" s="77"/>
      <c r="AH11" s="77">
        <v>10.531257011000001</v>
      </c>
      <c r="AI11" s="77">
        <v>21.771511777000004</v>
      </c>
      <c r="AJ11" s="77"/>
      <c r="AK11" s="77">
        <v>21.771511777000004</v>
      </c>
      <c r="AL11" s="77">
        <v>34.572112136000001</v>
      </c>
      <c r="AM11" s="77"/>
      <c r="AN11" s="77">
        <v>34.572112136000001</v>
      </c>
      <c r="AO11" s="77">
        <v>50.010958062999997</v>
      </c>
      <c r="AP11" s="77"/>
      <c r="AQ11" s="77">
        <v>50.010958062999997</v>
      </c>
      <c r="AR11" s="77">
        <v>16.440428857000001</v>
      </c>
      <c r="AS11" s="77"/>
      <c r="AT11" s="77">
        <v>16.440428857000001</v>
      </c>
      <c r="AU11" s="77">
        <v>28.190384183999999</v>
      </c>
      <c r="AV11" s="77"/>
      <c r="AW11" s="77">
        <v>28.190384183999999</v>
      </c>
    </row>
    <row r="12" spans="1:49" ht="14.25" customHeight="1">
      <c r="A12" s="74" t="s">
        <v>160</v>
      </c>
      <c r="B12" s="75"/>
      <c r="C12" s="75"/>
      <c r="D12" s="75">
        <v>0</v>
      </c>
      <c r="E12" s="75">
        <v>0</v>
      </c>
      <c r="F12" s="75">
        <v>0</v>
      </c>
      <c r="G12" s="75">
        <v>0</v>
      </c>
      <c r="H12" s="75">
        <f>+SO_APU_1!D24</f>
        <v>0</v>
      </c>
      <c r="I12" s="75"/>
      <c r="J12" s="75">
        <f>+H12-I12</f>
        <v>0</v>
      </c>
      <c r="K12" s="75">
        <f>+SO_APU_1!E24</f>
        <v>0</v>
      </c>
      <c r="L12" s="75"/>
      <c r="M12" s="75">
        <f>+K12-L12</f>
        <v>0</v>
      </c>
      <c r="N12" s="75">
        <v>0</v>
      </c>
      <c r="O12" s="75"/>
      <c r="P12" s="75">
        <f>+N12-O12</f>
        <v>0</v>
      </c>
      <c r="Q12" s="75">
        <v>0</v>
      </c>
      <c r="R12" s="75"/>
      <c r="S12" s="75">
        <f t="shared" si="2"/>
        <v>0</v>
      </c>
      <c r="T12" s="75">
        <v>0</v>
      </c>
      <c r="U12" s="75"/>
      <c r="V12" s="75">
        <f t="shared" si="3"/>
        <v>0</v>
      </c>
      <c r="W12" s="75">
        <v>0</v>
      </c>
      <c r="X12" s="75"/>
      <c r="Y12" s="75">
        <f t="shared" si="4"/>
        <v>0</v>
      </c>
      <c r="Z12" s="75">
        <v>0</v>
      </c>
      <c r="AA12" s="75"/>
      <c r="AB12" s="75">
        <f t="shared" si="5"/>
        <v>0</v>
      </c>
      <c r="AC12" s="75">
        <v>0</v>
      </c>
      <c r="AD12" s="75"/>
      <c r="AE12" s="75">
        <v>0</v>
      </c>
      <c r="AF12" s="75">
        <v>0</v>
      </c>
      <c r="AG12" s="75"/>
      <c r="AH12" s="75">
        <v>0</v>
      </c>
      <c r="AI12" s="75">
        <v>0</v>
      </c>
      <c r="AJ12" s="75"/>
      <c r="AK12" s="75">
        <v>0</v>
      </c>
      <c r="AL12" s="75">
        <v>0</v>
      </c>
      <c r="AM12" s="75"/>
      <c r="AN12" s="75">
        <v>0</v>
      </c>
      <c r="AO12" s="75">
        <v>0</v>
      </c>
      <c r="AP12" s="75"/>
      <c r="AQ12" s="75">
        <v>0</v>
      </c>
      <c r="AR12" s="75">
        <v>0</v>
      </c>
      <c r="AS12" s="75"/>
      <c r="AT12" s="75">
        <v>0</v>
      </c>
      <c r="AU12" s="75">
        <v>0</v>
      </c>
      <c r="AV12" s="75"/>
      <c r="AW12" s="75">
        <v>0</v>
      </c>
    </row>
    <row r="13" spans="1:49" ht="16">
      <c r="A13" s="74" t="s">
        <v>161</v>
      </c>
      <c r="B13" s="75">
        <v>256.44443039599997</v>
      </c>
      <c r="C13" s="75">
        <v>224.57</v>
      </c>
      <c r="D13" s="75">
        <v>35.56</v>
      </c>
      <c r="E13" s="75">
        <v>0</v>
      </c>
      <c r="F13" s="75">
        <v>122.71848813364801</v>
      </c>
      <c r="G13" s="75">
        <v>324.52322707499997</v>
      </c>
      <c r="H13" s="75">
        <f>+SO_APU_1!D25</f>
        <v>10.399999999999999</v>
      </c>
      <c r="I13" s="75"/>
      <c r="J13" s="75">
        <f t="shared" ref="J13:J14" si="9">+H13-I13</f>
        <v>10.399999999999999</v>
      </c>
      <c r="K13" s="75">
        <f>+SO_APU_1!E25</f>
        <v>48.151679596999998</v>
      </c>
      <c r="L13" s="75"/>
      <c r="M13" s="75">
        <f t="shared" ref="M13:M14" si="10">+K13-L13</f>
        <v>48.151679596999998</v>
      </c>
      <c r="N13" s="75">
        <v>70.617546505333337</v>
      </c>
      <c r="O13" s="75"/>
      <c r="P13" s="75">
        <f t="shared" ref="P13:P14" si="11">+N13-O13</f>
        <v>70.617546505333337</v>
      </c>
      <c r="Q13" s="75">
        <v>130.61032027555558</v>
      </c>
      <c r="R13" s="75"/>
      <c r="S13" s="75">
        <f t="shared" si="2"/>
        <v>130.61032027555558</v>
      </c>
      <c r="T13" s="75">
        <v>9.5640000000000001</v>
      </c>
      <c r="U13" s="75"/>
      <c r="V13" s="75">
        <f t="shared" si="3"/>
        <v>9.5640000000000001</v>
      </c>
      <c r="W13" s="75">
        <v>84.724833333288885</v>
      </c>
      <c r="X13" s="75"/>
      <c r="Y13" s="75">
        <f t="shared" si="4"/>
        <v>84.724833333288885</v>
      </c>
      <c r="Z13" s="75">
        <v>131.61372222228889</v>
      </c>
      <c r="AA13" s="75"/>
      <c r="AB13" s="75">
        <f t="shared" si="5"/>
        <v>131.61372222228889</v>
      </c>
      <c r="AC13" s="75">
        <v>155.31595610700003</v>
      </c>
      <c r="AD13" s="75"/>
      <c r="AE13" s="75">
        <v>155.31595610700003</v>
      </c>
      <c r="AF13" s="75">
        <v>31.556000000000001</v>
      </c>
      <c r="AG13" s="75"/>
      <c r="AH13" s="75">
        <v>31.556000000000001</v>
      </c>
      <c r="AI13" s="75">
        <v>79.686221464777788</v>
      </c>
      <c r="AJ13" s="75"/>
      <c r="AK13" s="75">
        <v>79.686221464777788</v>
      </c>
      <c r="AL13" s="75">
        <v>135.65733257544449</v>
      </c>
      <c r="AM13" s="75"/>
      <c r="AN13" s="75">
        <v>135.65733257544449</v>
      </c>
      <c r="AO13" s="75">
        <v>188.58820429111117</v>
      </c>
      <c r="AP13" s="75"/>
      <c r="AQ13" s="75">
        <v>188.58820429111117</v>
      </c>
      <c r="AR13" s="75">
        <v>28.058649999333333</v>
      </c>
      <c r="AS13" s="75"/>
      <c r="AT13" s="75">
        <v>28.058649999333333</v>
      </c>
      <c r="AU13" s="75">
        <v>41.409283331333334</v>
      </c>
      <c r="AV13" s="75"/>
      <c r="AW13" s="75">
        <v>41.409283331333334</v>
      </c>
    </row>
    <row r="14" spans="1:49" ht="16">
      <c r="A14" s="74" t="s">
        <v>162</v>
      </c>
      <c r="B14" s="75">
        <v>154.52383369977068</v>
      </c>
      <c r="C14" s="75">
        <v>123.95</v>
      </c>
      <c r="D14" s="75">
        <v>20.07</v>
      </c>
      <c r="E14" s="75">
        <v>0</v>
      </c>
      <c r="F14" s="75">
        <v>116.357082607</v>
      </c>
      <c r="G14" s="75">
        <v>150.01117411999999</v>
      </c>
      <c r="H14" s="75">
        <f>+SO_APU_1!D28</f>
        <v>17.090390111000001</v>
      </c>
      <c r="I14" s="75"/>
      <c r="J14" s="75">
        <f t="shared" si="9"/>
        <v>17.090390111000001</v>
      </c>
      <c r="K14" s="75">
        <f>+[12]SO_APU!$Q$28</f>
        <v>86.507755307000011</v>
      </c>
      <c r="L14" s="75"/>
      <c r="M14" s="75">
        <f t="shared" si="10"/>
        <v>86.507755307000011</v>
      </c>
      <c r="N14" s="75">
        <v>107.253958221</v>
      </c>
      <c r="O14" s="75"/>
      <c r="P14" s="75">
        <f t="shared" si="11"/>
        <v>107.253958221</v>
      </c>
      <c r="Q14" s="75">
        <v>254.730010932</v>
      </c>
      <c r="R14" s="75"/>
      <c r="S14" s="75">
        <f t="shared" si="2"/>
        <v>254.730010932</v>
      </c>
      <c r="T14" s="75">
        <v>32.986759466833334</v>
      </c>
      <c r="U14" s="75"/>
      <c r="V14" s="75">
        <f t="shared" si="3"/>
        <v>32.986759466833334</v>
      </c>
      <c r="W14" s="75">
        <v>52.72154941983333</v>
      </c>
      <c r="X14" s="75">
        <f>+SUM(X15:X19)</f>
        <v>0</v>
      </c>
      <c r="Y14" s="75">
        <f t="shared" si="4"/>
        <v>52.72154941983333</v>
      </c>
      <c r="Z14" s="75">
        <v>119.20893636783333</v>
      </c>
      <c r="AA14" s="75"/>
      <c r="AB14" s="75">
        <f t="shared" si="5"/>
        <v>119.20893636783333</v>
      </c>
      <c r="AC14" s="75">
        <v>256.46112084183335</v>
      </c>
      <c r="AD14" s="75"/>
      <c r="AE14" s="75">
        <v>256.46112084183335</v>
      </c>
      <c r="AF14" s="75">
        <v>51.649058157833338</v>
      </c>
      <c r="AG14" s="75"/>
      <c r="AH14" s="75">
        <v>51.649058157833338</v>
      </c>
      <c r="AI14" s="75">
        <v>86.690574361649993</v>
      </c>
      <c r="AJ14" s="75">
        <v>0</v>
      </c>
      <c r="AK14" s="75">
        <v>86.690574361649993</v>
      </c>
      <c r="AL14" s="75">
        <v>134.61408606764999</v>
      </c>
      <c r="AM14" s="75">
        <v>0</v>
      </c>
      <c r="AN14" s="75">
        <v>134.61408606764999</v>
      </c>
      <c r="AO14" s="75">
        <v>209.36701280164999</v>
      </c>
      <c r="AP14" s="75"/>
      <c r="AQ14" s="75">
        <v>209.36701280164999</v>
      </c>
      <c r="AR14" s="75">
        <v>39.787156722999995</v>
      </c>
      <c r="AS14" s="75">
        <v>0</v>
      </c>
      <c r="AT14" s="75">
        <v>39.787156722999995</v>
      </c>
      <c r="AU14" s="75">
        <v>64.924300581999987</v>
      </c>
      <c r="AV14" s="75">
        <v>0</v>
      </c>
      <c r="AW14" s="75">
        <v>64.924300581999987</v>
      </c>
    </row>
    <row r="15" spans="1:49" ht="16">
      <c r="A15" s="76" t="s">
        <v>163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>
        <v>254.730010932</v>
      </c>
      <c r="R15" s="77"/>
      <c r="S15" s="77">
        <f t="shared" si="2"/>
        <v>254.730010932</v>
      </c>
      <c r="T15" s="77">
        <v>32.986759466833334</v>
      </c>
      <c r="U15" s="77"/>
      <c r="V15" s="77">
        <f t="shared" si="3"/>
        <v>32.986759466833334</v>
      </c>
      <c r="W15" s="77">
        <v>52.72154941983333</v>
      </c>
      <c r="X15" s="77"/>
      <c r="Y15" s="77">
        <f t="shared" si="4"/>
        <v>52.72154941983333</v>
      </c>
      <c r="Z15" s="77">
        <v>119.20893636783333</v>
      </c>
      <c r="AA15" s="77"/>
      <c r="AB15" s="77">
        <f t="shared" si="5"/>
        <v>119.20893636783333</v>
      </c>
      <c r="AC15" s="77">
        <v>256.46112084183335</v>
      </c>
      <c r="AD15" s="77"/>
      <c r="AE15" s="77">
        <v>256.46112084183335</v>
      </c>
      <c r="AF15" s="77">
        <v>42.024713700833338</v>
      </c>
      <c r="AG15" s="77"/>
      <c r="AH15" s="77">
        <v>42.024713700833338</v>
      </c>
      <c r="AI15" s="77">
        <v>67.429185974649997</v>
      </c>
      <c r="AJ15" s="77"/>
      <c r="AK15" s="77">
        <v>67.429185974649997</v>
      </c>
      <c r="AL15" s="77">
        <v>109.52370354064999</v>
      </c>
      <c r="AM15" s="77"/>
      <c r="AN15" s="77">
        <v>109.52370354064999</v>
      </c>
      <c r="AO15" s="77">
        <v>209.36701280164999</v>
      </c>
      <c r="AP15" s="77"/>
      <c r="AQ15" s="77">
        <v>209.36701280164999</v>
      </c>
      <c r="AR15" s="77">
        <v>32.311131678999999</v>
      </c>
      <c r="AS15" s="77"/>
      <c r="AT15" s="77">
        <v>32.311131678999999</v>
      </c>
      <c r="AU15" s="77">
        <v>51.005432065000001</v>
      </c>
      <c r="AV15" s="77"/>
      <c r="AW15" s="77">
        <v>51.005432065000001</v>
      </c>
    </row>
    <row r="16" spans="1:49" ht="16">
      <c r="A16" s="76" t="s">
        <v>164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>
        <v>0</v>
      </c>
      <c r="R16" s="77"/>
      <c r="S16" s="77">
        <f t="shared" si="2"/>
        <v>0</v>
      </c>
      <c r="T16" s="77">
        <v>0</v>
      </c>
      <c r="U16" s="77"/>
      <c r="V16" s="77">
        <f t="shared" si="3"/>
        <v>0</v>
      </c>
      <c r="W16" s="77">
        <v>0</v>
      </c>
      <c r="X16" s="77"/>
      <c r="Y16" s="77">
        <f t="shared" si="4"/>
        <v>0</v>
      </c>
      <c r="Z16" s="77">
        <v>0</v>
      </c>
      <c r="AA16" s="77"/>
      <c r="AB16" s="77">
        <f t="shared" si="5"/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/>
      <c r="AQ16" s="77">
        <v>0</v>
      </c>
      <c r="AR16" s="77">
        <v>3.3920250439999999</v>
      </c>
      <c r="AS16" s="77"/>
      <c r="AT16" s="77">
        <v>3.3920250439999999</v>
      </c>
      <c r="AU16" s="77">
        <v>7.1039261470000001</v>
      </c>
      <c r="AV16" s="77"/>
      <c r="AW16" s="77">
        <v>7.1039261470000001</v>
      </c>
    </row>
    <row r="17" spans="1:49" ht="16">
      <c r="A17" s="76" t="s">
        <v>165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>
        <v>0</v>
      </c>
      <c r="R17" s="77"/>
      <c r="S17" s="77">
        <f t="shared" si="2"/>
        <v>0</v>
      </c>
      <c r="T17" s="77">
        <v>0</v>
      </c>
      <c r="U17" s="77"/>
      <c r="V17" s="77">
        <f t="shared" si="3"/>
        <v>0</v>
      </c>
      <c r="W17" s="77">
        <v>0</v>
      </c>
      <c r="X17" s="77"/>
      <c r="Y17" s="77">
        <f t="shared" si="4"/>
        <v>0</v>
      </c>
      <c r="Z17" s="77">
        <v>0</v>
      </c>
      <c r="AA17" s="77"/>
      <c r="AB17" s="77">
        <f t="shared" si="5"/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/>
      <c r="AQ17" s="77">
        <v>0</v>
      </c>
      <c r="AR17" s="77">
        <v>0</v>
      </c>
      <c r="AS17" s="77"/>
      <c r="AT17" s="77">
        <v>0</v>
      </c>
      <c r="AU17" s="77">
        <v>0</v>
      </c>
      <c r="AV17" s="77"/>
      <c r="AW17" s="77">
        <v>0</v>
      </c>
    </row>
    <row r="18" spans="1:49" ht="16">
      <c r="A18" s="76" t="s">
        <v>166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>
        <v>0</v>
      </c>
      <c r="R18" s="77"/>
      <c r="S18" s="77">
        <f t="shared" si="2"/>
        <v>0</v>
      </c>
      <c r="T18" s="77">
        <v>0</v>
      </c>
      <c r="U18" s="77"/>
      <c r="V18" s="77">
        <f t="shared" si="3"/>
        <v>0</v>
      </c>
      <c r="W18" s="77">
        <v>0</v>
      </c>
      <c r="X18" s="77"/>
      <c r="Y18" s="77">
        <f t="shared" si="4"/>
        <v>0</v>
      </c>
      <c r="Z18" s="77">
        <v>0</v>
      </c>
      <c r="AA18" s="77"/>
      <c r="AB18" s="77">
        <f t="shared" si="5"/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/>
      <c r="AQ18" s="77">
        <v>0</v>
      </c>
      <c r="AR18" s="77">
        <v>4.0839999999999996</v>
      </c>
      <c r="AS18" s="77"/>
      <c r="AT18" s="77">
        <v>4.0839999999999996</v>
      </c>
      <c r="AU18" s="77">
        <v>6.8149423699999998</v>
      </c>
      <c r="AV18" s="77"/>
      <c r="AW18" s="77">
        <v>6.8149423699999998</v>
      </c>
    </row>
    <row r="19" spans="1:49" ht="31">
      <c r="A19" s="78" t="s">
        <v>167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>
        <v>0</v>
      </c>
      <c r="R19" s="77"/>
      <c r="S19" s="77">
        <f t="shared" si="2"/>
        <v>0</v>
      </c>
      <c r="T19" s="77">
        <v>0</v>
      </c>
      <c r="U19" s="77"/>
      <c r="V19" s="77">
        <f t="shared" si="3"/>
        <v>0</v>
      </c>
      <c r="W19" s="77">
        <v>0</v>
      </c>
      <c r="X19" s="77"/>
      <c r="Y19" s="77">
        <f t="shared" si="4"/>
        <v>0</v>
      </c>
      <c r="Z19" s="77">
        <v>0</v>
      </c>
      <c r="AA19" s="77"/>
      <c r="AB19" s="77">
        <f t="shared" si="5"/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/>
      <c r="AQ19" s="77">
        <v>0</v>
      </c>
      <c r="AR19" s="77">
        <v>0</v>
      </c>
      <c r="AS19" s="77"/>
      <c r="AT19" s="77">
        <v>0</v>
      </c>
      <c r="AU19" s="77">
        <v>0</v>
      </c>
      <c r="AV19" s="77"/>
      <c r="AW19" s="77">
        <v>0</v>
      </c>
    </row>
    <row r="20" spans="1:49" ht="16">
      <c r="A20" s="79" t="s">
        <v>168</v>
      </c>
      <c r="B20" s="73">
        <v>2254.56941855178</v>
      </c>
      <c r="C20" s="73">
        <v>2325.38</v>
      </c>
      <c r="D20" s="73">
        <v>672.18</v>
      </c>
      <c r="E20" s="73">
        <v>1761.6299999999997</v>
      </c>
      <c r="F20" s="73">
        <v>2403.0715028685599</v>
      </c>
      <c r="G20" s="73">
        <v>2761.9795614991876</v>
      </c>
      <c r="H20" s="73">
        <f>+H21+H22+H23+H24+H25+H26+H27</f>
        <v>808.41969850417513</v>
      </c>
      <c r="I20" s="73">
        <f t="shared" ref="I20:M20" si="12">+I21+I22+I23+I24+I25+I26+I27</f>
        <v>93.317945285999997</v>
      </c>
      <c r="J20" s="73">
        <f t="shared" si="12"/>
        <v>715.10175321817519</v>
      </c>
      <c r="K20" s="73">
        <f t="shared" si="12"/>
        <v>0</v>
      </c>
      <c r="L20" s="73">
        <f t="shared" si="12"/>
        <v>185.035318778</v>
      </c>
      <c r="M20" s="73">
        <f t="shared" si="12"/>
        <v>-185.035318778</v>
      </c>
      <c r="N20" s="73">
        <f t="shared" ref="N20:P20" si="13">+N21+N22+N23+N24+N25+N26+N27</f>
        <v>2472.252992387736</v>
      </c>
      <c r="O20" s="73">
        <f t="shared" si="13"/>
        <v>344.69000000000005</v>
      </c>
      <c r="P20" s="73">
        <f t="shared" si="13"/>
        <v>2127.5629923877359</v>
      </c>
      <c r="Q20" s="73">
        <v>3216.2225567947858</v>
      </c>
      <c r="R20" s="73">
        <f>+R21+R22+R23+R24+R25+R26+R27</f>
        <v>415.19</v>
      </c>
      <c r="S20" s="73">
        <f t="shared" si="2"/>
        <v>2801.0325567947857</v>
      </c>
      <c r="T20" s="73">
        <v>1216.4759420085638</v>
      </c>
      <c r="U20" s="73">
        <f>+U21+U22+U23+U24+U25+U26+U27</f>
        <v>62.93</v>
      </c>
      <c r="V20" s="73">
        <f t="shared" si="3"/>
        <v>1153.5459420085638</v>
      </c>
      <c r="W20" s="73">
        <v>2136.3564692865634</v>
      </c>
      <c r="X20" s="73">
        <f>+SUM(X21:X27)</f>
        <v>223.98119079799997</v>
      </c>
      <c r="Y20" s="73">
        <f t="shared" si="4"/>
        <v>1912.3752784885635</v>
      </c>
      <c r="Z20" s="73">
        <v>3009.5465724161882</v>
      </c>
      <c r="AA20" s="73">
        <f>+SUM(AA21:AA27)</f>
        <v>321.15575032500004</v>
      </c>
      <c r="AB20" s="73">
        <f t="shared" si="5"/>
        <v>2688.3908220911881</v>
      </c>
      <c r="AC20" s="73">
        <v>4173.0274690349615</v>
      </c>
      <c r="AD20" s="73">
        <v>391.31000000000006</v>
      </c>
      <c r="AE20" s="73">
        <v>3781.7174690349616</v>
      </c>
      <c r="AF20" s="73">
        <v>1183.4923995083407</v>
      </c>
      <c r="AG20" s="73">
        <v>90.417932909000001</v>
      </c>
      <c r="AH20" s="73">
        <v>1093.0744665993407</v>
      </c>
      <c r="AI20" s="73">
        <v>2138.3678275033408</v>
      </c>
      <c r="AJ20" s="73">
        <v>216.05</v>
      </c>
      <c r="AK20" s="73">
        <v>1922.3178275033408</v>
      </c>
      <c r="AL20" s="73">
        <v>3245.3908897539586</v>
      </c>
      <c r="AM20" s="73">
        <v>348.41</v>
      </c>
      <c r="AN20" s="73">
        <v>2896.9808897539588</v>
      </c>
      <c r="AO20" s="73">
        <v>4197.6958108046174</v>
      </c>
      <c r="AP20" s="73">
        <v>278.52</v>
      </c>
      <c r="AQ20" s="73">
        <v>3919.1758108046174</v>
      </c>
      <c r="AR20" s="73">
        <v>1195.6536137584767</v>
      </c>
      <c r="AS20" s="73">
        <v>93.63000000000001</v>
      </c>
      <c r="AT20" s="73">
        <v>1289.2836137584768</v>
      </c>
      <c r="AU20" s="73">
        <v>2227.380455900688</v>
      </c>
      <c r="AV20" s="73">
        <v>163.45999999999998</v>
      </c>
      <c r="AW20" s="73">
        <v>2390.8404559006881</v>
      </c>
    </row>
    <row r="21" spans="1:49" ht="16">
      <c r="A21" s="81" t="s">
        <v>46</v>
      </c>
      <c r="B21" s="77">
        <v>558.14959846499994</v>
      </c>
      <c r="C21" s="77">
        <v>567.66999999999996</v>
      </c>
      <c r="D21" s="77">
        <v>152.19999999999999</v>
      </c>
      <c r="E21" s="77">
        <v>305.82</v>
      </c>
      <c r="F21" s="77">
        <v>536.57960515899993</v>
      </c>
      <c r="G21" s="77">
        <v>625.20497875499984</v>
      </c>
      <c r="H21" s="77">
        <f>+SO_APU_1!D34</f>
        <v>208.89685439900001</v>
      </c>
      <c r="I21" s="77">
        <v>47.107945285999996</v>
      </c>
      <c r="J21" s="77">
        <f>+H21-I21</f>
        <v>161.78890911300002</v>
      </c>
      <c r="K21" s="77">
        <f>+[12]SO_APU!$Q$34</f>
        <v>0</v>
      </c>
      <c r="L21" s="77">
        <v>96.32531877800001</v>
      </c>
      <c r="M21" s="77">
        <f>+K21-L21</f>
        <v>-96.32531877800001</v>
      </c>
      <c r="N21" s="77">
        <v>659.39826269100001</v>
      </c>
      <c r="O21" s="77">
        <f>35.95+2.52+87.26+6.81+3.45+12.61</f>
        <v>148.60000000000002</v>
      </c>
      <c r="P21" s="77">
        <f>+N21-O21</f>
        <v>510.79826269099999</v>
      </c>
      <c r="Q21" s="77">
        <v>885.78023550105002</v>
      </c>
      <c r="R21" s="77">
        <f>48.2+3.45+116.23+11.47+4.36+16.97</f>
        <v>200.68</v>
      </c>
      <c r="S21" s="77">
        <f t="shared" si="2"/>
        <v>685.10023550105007</v>
      </c>
      <c r="T21" s="77">
        <v>227.17320700099998</v>
      </c>
      <c r="U21" s="77">
        <f>11.83+0.84+30.17+4.64+0.9+4.48</f>
        <v>52.86</v>
      </c>
      <c r="V21" s="77">
        <f t="shared" si="3"/>
        <v>174.31320700099997</v>
      </c>
      <c r="W21" s="77">
        <v>499.48600087199998</v>
      </c>
      <c r="X21" s="77">
        <f>23.562653783+71.58+1.88+7.74</f>
        <v>104.76265378299999</v>
      </c>
      <c r="Y21" s="77">
        <f t="shared" si="4"/>
        <v>394.72334708899996</v>
      </c>
      <c r="Z21" s="77">
        <v>799.25725065900008</v>
      </c>
      <c r="AA21" s="77">
        <f>35.944320359+109.57+2.76+10.97</f>
        <v>159.244320359</v>
      </c>
      <c r="AB21" s="77">
        <f t="shared" si="5"/>
        <v>640.01293030000011</v>
      </c>
      <c r="AC21" s="77">
        <v>1102.8516327259999</v>
      </c>
      <c r="AD21" s="77">
        <v>215.73000000000002</v>
      </c>
      <c r="AE21" s="77">
        <v>887.12163272599992</v>
      </c>
      <c r="AF21" s="77">
        <v>313.61206074899997</v>
      </c>
      <c r="AG21" s="77">
        <v>55.833595391999999</v>
      </c>
      <c r="AH21" s="77">
        <v>257.77846535699996</v>
      </c>
      <c r="AI21" s="77">
        <v>630.22355486899994</v>
      </c>
      <c r="AJ21" s="77">
        <v>110.07000000000001</v>
      </c>
      <c r="AK21" s="77">
        <v>520.15355486899989</v>
      </c>
      <c r="AL21" s="77">
        <v>951.11615893299995</v>
      </c>
      <c r="AM21" s="77">
        <v>169.06</v>
      </c>
      <c r="AN21" s="77">
        <v>782.05615893300001</v>
      </c>
      <c r="AO21" s="77">
        <v>1267.085374861</v>
      </c>
      <c r="AP21" s="77">
        <v>45.53</v>
      </c>
      <c r="AQ21" s="77">
        <v>1221.555374861</v>
      </c>
      <c r="AR21" s="77">
        <v>355.52946707899997</v>
      </c>
      <c r="AS21" s="77">
        <v>17.73</v>
      </c>
      <c r="AT21" s="77">
        <v>373.25946707899999</v>
      </c>
      <c r="AU21" s="77">
        <v>698.95647513500001</v>
      </c>
      <c r="AV21" s="77">
        <v>35.26</v>
      </c>
      <c r="AW21" s="77">
        <v>734.216475135</v>
      </c>
    </row>
    <row r="22" spans="1:49" ht="16">
      <c r="A22" s="81" t="s">
        <v>169</v>
      </c>
      <c r="B22" s="77">
        <v>230.414651531</v>
      </c>
      <c r="C22" s="77">
        <v>243.89</v>
      </c>
      <c r="D22" s="77">
        <v>36.64</v>
      </c>
      <c r="E22" s="77">
        <v>123.21000000000001</v>
      </c>
      <c r="F22" s="77">
        <v>198.19349237099999</v>
      </c>
      <c r="G22" s="77">
        <v>257.79456649200006</v>
      </c>
      <c r="H22" s="77">
        <f>+SO_APU_1!D35</f>
        <v>54.880546221000003</v>
      </c>
      <c r="I22" s="77">
        <f>0.56+1.15</f>
        <v>1.71</v>
      </c>
      <c r="J22" s="77">
        <f t="shared" ref="J22:J27" si="14">+H22-I22</f>
        <v>53.170546221000002</v>
      </c>
      <c r="K22" s="77">
        <f>+[12]SO_APU!$Q$35</f>
        <v>0</v>
      </c>
      <c r="L22" s="77">
        <f>1.19+2.7</f>
        <v>3.89</v>
      </c>
      <c r="M22" s="77">
        <f t="shared" ref="M22:M27" si="15">+K22-L22</f>
        <v>-3.89</v>
      </c>
      <c r="N22" s="77">
        <v>299.20325800500001</v>
      </c>
      <c r="O22" s="77">
        <f>68.9+1.51+13.98</f>
        <v>84.390000000000015</v>
      </c>
      <c r="P22" s="77">
        <f t="shared" ref="P22:P27" si="16">+N22-O22</f>
        <v>214.81325800499999</v>
      </c>
      <c r="Q22" s="77">
        <v>377.00235846300001</v>
      </c>
      <c r="R22" s="77">
        <f>68.95+30.99</f>
        <v>99.94</v>
      </c>
      <c r="S22" s="77">
        <f t="shared" si="2"/>
        <v>277.06235846300001</v>
      </c>
      <c r="T22" s="77">
        <v>97.418036449999988</v>
      </c>
      <c r="U22" s="77"/>
      <c r="V22" s="77">
        <f t="shared" si="3"/>
        <v>97.418036449999988</v>
      </c>
      <c r="W22" s="77">
        <v>195.54249656799999</v>
      </c>
      <c r="X22" s="77">
        <v>9.3000000000000007</v>
      </c>
      <c r="Y22" s="77">
        <f t="shared" si="4"/>
        <v>186.24249656799998</v>
      </c>
      <c r="Z22" s="77">
        <v>293.03639662</v>
      </c>
      <c r="AA22" s="77">
        <v>15.1</v>
      </c>
      <c r="AB22" s="77">
        <f t="shared" si="5"/>
        <v>277.93639661999998</v>
      </c>
      <c r="AC22" s="77">
        <v>373.74528615700001</v>
      </c>
      <c r="AD22" s="77">
        <v>20.100000000000001</v>
      </c>
      <c r="AE22" s="77">
        <v>353.64528615699999</v>
      </c>
      <c r="AF22" s="77">
        <v>92.757118907999995</v>
      </c>
      <c r="AG22" s="77">
        <v>8.3000000000000007</v>
      </c>
      <c r="AH22" s="77">
        <v>84.457118907999998</v>
      </c>
      <c r="AI22" s="77">
        <v>183.65229561299998</v>
      </c>
      <c r="AJ22" s="77"/>
      <c r="AK22" s="77">
        <v>183.65229561299998</v>
      </c>
      <c r="AL22" s="77">
        <v>290.00651093499994</v>
      </c>
      <c r="AM22" s="77"/>
      <c r="AN22" s="77">
        <v>290.00651093499994</v>
      </c>
      <c r="AO22" s="77">
        <v>367.46698780699995</v>
      </c>
      <c r="AP22" s="77"/>
      <c r="AQ22" s="77">
        <v>367.46698780699995</v>
      </c>
      <c r="AR22" s="77">
        <v>79.335170008999995</v>
      </c>
      <c r="AS22" s="77"/>
      <c r="AT22" s="77">
        <v>79.335170008999995</v>
      </c>
      <c r="AU22" s="77">
        <v>159.79632363799999</v>
      </c>
      <c r="AV22" s="77"/>
      <c r="AW22" s="77">
        <v>159.79632363799999</v>
      </c>
    </row>
    <row r="23" spans="1:49" ht="16">
      <c r="A23" s="81" t="s">
        <v>54</v>
      </c>
      <c r="B23" s="77">
        <v>263.15706917478025</v>
      </c>
      <c r="C23" s="77">
        <v>271.18</v>
      </c>
      <c r="D23" s="77">
        <v>113.87</v>
      </c>
      <c r="E23" s="77">
        <v>162.08000000000001</v>
      </c>
      <c r="F23" s="77">
        <v>237.64163544156</v>
      </c>
      <c r="G23" s="77">
        <v>289.54718238018779</v>
      </c>
      <c r="H23" s="77">
        <f>+SO_APU_1!D39</f>
        <v>111.14636518917514</v>
      </c>
      <c r="I23" s="77"/>
      <c r="J23" s="77">
        <f t="shared" si="14"/>
        <v>111.14636518917514</v>
      </c>
      <c r="K23" s="77">
        <f>+[12]SO_APU!$Q$39</f>
        <v>0</v>
      </c>
      <c r="L23" s="77"/>
      <c r="M23" s="77">
        <f t="shared" si="15"/>
        <v>0</v>
      </c>
      <c r="N23" s="77">
        <v>247.09077159473586</v>
      </c>
      <c r="O23" s="77"/>
      <c r="P23" s="77">
        <f t="shared" si="16"/>
        <v>247.09077159473586</v>
      </c>
      <c r="Q23" s="77">
        <v>306.5303381907359</v>
      </c>
      <c r="R23" s="77"/>
      <c r="S23" s="77">
        <f t="shared" si="2"/>
        <v>306.5303381907359</v>
      </c>
      <c r="T23" s="77">
        <v>123.0890179825638</v>
      </c>
      <c r="U23" s="77"/>
      <c r="V23" s="77">
        <f t="shared" si="3"/>
        <v>123.0890179825638</v>
      </c>
      <c r="W23" s="77">
        <v>214.30692203156383</v>
      </c>
      <c r="X23" s="77"/>
      <c r="Y23" s="77">
        <f t="shared" si="4"/>
        <v>214.30692203156383</v>
      </c>
      <c r="Z23" s="77">
        <v>301.18386228518881</v>
      </c>
      <c r="AA23" s="77"/>
      <c r="AB23" s="77">
        <f t="shared" si="5"/>
        <v>301.18386228518881</v>
      </c>
      <c r="AC23" s="77">
        <v>384.14149038396147</v>
      </c>
      <c r="AD23" s="77"/>
      <c r="AE23" s="77">
        <v>384.14149038396147</v>
      </c>
      <c r="AF23" s="77">
        <v>149.90998612334073</v>
      </c>
      <c r="AG23" s="77"/>
      <c r="AH23" s="77">
        <v>149.90998612334073</v>
      </c>
      <c r="AI23" s="77">
        <v>280.75081325734072</v>
      </c>
      <c r="AJ23" s="77"/>
      <c r="AK23" s="77">
        <v>280.75081325734072</v>
      </c>
      <c r="AL23" s="77">
        <v>407.12742052196052</v>
      </c>
      <c r="AM23" s="77"/>
      <c r="AN23" s="77">
        <v>407.12742052196052</v>
      </c>
      <c r="AO23" s="77">
        <v>569.00297749561776</v>
      </c>
      <c r="AP23" s="77"/>
      <c r="AQ23" s="77">
        <v>569.00297749561776</v>
      </c>
      <c r="AR23" s="77">
        <v>183.51071704747645</v>
      </c>
      <c r="AS23" s="77"/>
      <c r="AT23" s="77">
        <v>183.51071704747645</v>
      </c>
      <c r="AU23" s="77">
        <v>395.63542565268739</v>
      </c>
      <c r="AV23" s="77"/>
      <c r="AW23" s="77">
        <v>395.63542565268739</v>
      </c>
    </row>
    <row r="24" spans="1:49" ht="16">
      <c r="A24" s="81" t="s">
        <v>58</v>
      </c>
      <c r="B24" s="77">
        <v>130.281616601</v>
      </c>
      <c r="C24" s="77">
        <v>64.31</v>
      </c>
      <c r="D24" s="77">
        <v>31.32</v>
      </c>
      <c r="E24" s="77">
        <v>102.28</v>
      </c>
      <c r="F24" s="77">
        <v>170.35144849599999</v>
      </c>
      <c r="G24" s="77">
        <v>175.16286498099998</v>
      </c>
      <c r="H24" s="77">
        <f>+SO_APU_1!D42</f>
        <v>26.694160455999999</v>
      </c>
      <c r="I24" s="77"/>
      <c r="J24" s="77">
        <f t="shared" si="14"/>
        <v>26.694160455999999</v>
      </c>
      <c r="K24" s="77">
        <f>+[12]SO_APU!$Q$42</f>
        <v>0</v>
      </c>
      <c r="L24" s="77"/>
      <c r="M24" s="77">
        <f t="shared" si="15"/>
        <v>0</v>
      </c>
      <c r="N24" s="77">
        <v>69.523729580999984</v>
      </c>
      <c r="O24" s="77"/>
      <c r="P24" s="77">
        <f t="shared" si="16"/>
        <v>69.523729580999984</v>
      </c>
      <c r="Q24" s="77">
        <v>91.027622357999988</v>
      </c>
      <c r="R24" s="77"/>
      <c r="S24" s="77">
        <f t="shared" si="2"/>
        <v>91.027622357999988</v>
      </c>
      <c r="T24" s="77">
        <v>16.884920555000001</v>
      </c>
      <c r="U24" s="77"/>
      <c r="V24" s="77">
        <f t="shared" si="3"/>
        <v>16.884920555000001</v>
      </c>
      <c r="W24" s="77">
        <v>30.752722951000003</v>
      </c>
      <c r="X24" s="77"/>
      <c r="Y24" s="77">
        <f t="shared" si="4"/>
        <v>30.752722951000003</v>
      </c>
      <c r="Z24" s="77">
        <v>40.524356914000002</v>
      </c>
      <c r="AA24" s="77"/>
      <c r="AB24" s="77">
        <f t="shared" si="5"/>
        <v>40.524356914000002</v>
      </c>
      <c r="AC24" s="77">
        <v>46.834614239000004</v>
      </c>
      <c r="AD24" s="77"/>
      <c r="AE24" s="77">
        <v>46.834614239000004</v>
      </c>
      <c r="AF24" s="77">
        <v>22.030538174999997</v>
      </c>
      <c r="AG24" s="77"/>
      <c r="AH24" s="77">
        <v>22.030538174999997</v>
      </c>
      <c r="AI24" s="77">
        <v>38.042236099999997</v>
      </c>
      <c r="AJ24" s="77"/>
      <c r="AK24" s="77">
        <v>38.042236099999997</v>
      </c>
      <c r="AL24" s="77">
        <v>62.454044216</v>
      </c>
      <c r="AM24" s="77"/>
      <c r="AN24" s="77">
        <v>62.454044216</v>
      </c>
      <c r="AO24" s="77">
        <v>68.935399715999992</v>
      </c>
      <c r="AP24" s="77"/>
      <c r="AQ24" s="77">
        <v>68.935399715999992</v>
      </c>
      <c r="AR24" s="77">
        <v>10.407822101000001</v>
      </c>
      <c r="AS24" s="77"/>
      <c r="AT24" s="77">
        <v>10.407822101000001</v>
      </c>
      <c r="AU24" s="77">
        <v>19.687066726000001</v>
      </c>
      <c r="AV24" s="77"/>
      <c r="AW24" s="77">
        <v>19.687066726000001</v>
      </c>
    </row>
    <row r="25" spans="1:49" ht="16">
      <c r="A25" s="81" t="s">
        <v>34</v>
      </c>
      <c r="B25" s="77">
        <v>837.54</v>
      </c>
      <c r="C25" s="77">
        <v>1079.4000000000001</v>
      </c>
      <c r="D25" s="77">
        <v>290.62</v>
      </c>
      <c r="E25" s="77">
        <v>996.29</v>
      </c>
      <c r="F25" s="77">
        <v>1201.7290620609999</v>
      </c>
      <c r="G25" s="77">
        <v>1288.9324001540001</v>
      </c>
      <c r="H25" s="77">
        <f>+SO_APU_1!D44</f>
        <v>332.49617963399999</v>
      </c>
      <c r="I25" s="77">
        <f>21.7+5.6</f>
        <v>27.299999999999997</v>
      </c>
      <c r="J25" s="77">
        <f t="shared" si="14"/>
        <v>305.19617963399998</v>
      </c>
      <c r="K25" s="77">
        <f>+[12]SO_APU!$Q$44</f>
        <v>0</v>
      </c>
      <c r="L25" s="77">
        <v>47.5</v>
      </c>
      <c r="M25" s="77">
        <f t="shared" si="15"/>
        <v>-47.5</v>
      </c>
      <c r="N25" s="77">
        <v>1037.425705184</v>
      </c>
      <c r="O25" s="77">
        <f>2.07+16.3+34.2</f>
        <v>52.570000000000007</v>
      </c>
      <c r="P25" s="77">
        <f t="shared" si="16"/>
        <v>984.85570518399993</v>
      </c>
      <c r="Q25" s="77">
        <v>1348.5538634289999</v>
      </c>
      <c r="R25" s="77">
        <f>4.94+17.49+20.13</f>
        <v>42.56</v>
      </c>
      <c r="S25" s="77">
        <f t="shared" si="2"/>
        <v>1305.9938634289999</v>
      </c>
      <c r="T25" s="77">
        <v>691.54164906699998</v>
      </c>
      <c r="U25" s="77"/>
      <c r="V25" s="77">
        <f t="shared" si="3"/>
        <v>691.54164906699998</v>
      </c>
      <c r="W25" s="77">
        <v>1080.6098483410001</v>
      </c>
      <c r="X25" s="77">
        <f>6.24+12.59+59.8</f>
        <v>78.63</v>
      </c>
      <c r="Y25" s="77">
        <f t="shared" si="4"/>
        <v>1001.9798483410001</v>
      </c>
      <c r="Z25" s="77">
        <v>1429.4176552980002</v>
      </c>
      <c r="AA25" s="77">
        <f>9.23+17.43+78.68</f>
        <v>105.34</v>
      </c>
      <c r="AB25" s="77">
        <f t="shared" si="5"/>
        <v>1324.0776552980003</v>
      </c>
      <c r="AC25" s="77">
        <v>2091.1566641710001</v>
      </c>
      <c r="AD25" s="77">
        <v>114.01</v>
      </c>
      <c r="AE25" s="77">
        <v>1977.1466641710001</v>
      </c>
      <c r="AF25" s="77">
        <v>521.13349029599999</v>
      </c>
      <c r="AG25" s="77">
        <v>4.37</v>
      </c>
      <c r="AH25" s="77">
        <v>516.76349029599999</v>
      </c>
      <c r="AI25" s="77">
        <v>850.227305194</v>
      </c>
      <c r="AJ25" s="77">
        <v>31.78</v>
      </c>
      <c r="AK25" s="77">
        <v>818.44730519400002</v>
      </c>
      <c r="AL25" s="77">
        <v>1338.1441993989999</v>
      </c>
      <c r="AM25" s="77">
        <v>105.15</v>
      </c>
      <c r="AN25" s="77">
        <v>1232.9941993989999</v>
      </c>
      <c r="AO25" s="77">
        <v>1702.1422084010001</v>
      </c>
      <c r="AP25" s="77">
        <v>148.29</v>
      </c>
      <c r="AQ25" s="77">
        <v>1553.8522084010001</v>
      </c>
      <c r="AR25" s="77">
        <v>488.61191174999999</v>
      </c>
      <c r="AS25" s="77">
        <v>75.900000000000006</v>
      </c>
      <c r="AT25" s="77">
        <v>564.51191174999997</v>
      </c>
      <c r="AU25" s="77">
        <v>856.47787187899996</v>
      </c>
      <c r="AV25" s="77">
        <v>128.19999999999999</v>
      </c>
      <c r="AW25" s="77">
        <v>984.67787187899989</v>
      </c>
    </row>
    <row r="26" spans="1:49" ht="16">
      <c r="A26" s="81" t="s">
        <v>170</v>
      </c>
      <c r="B26" s="77">
        <v>7.1058634630000004</v>
      </c>
      <c r="C26" s="77">
        <v>15.4</v>
      </c>
      <c r="D26" s="77">
        <v>10.85</v>
      </c>
      <c r="E26" s="77">
        <v>14.36</v>
      </c>
      <c r="F26" s="77">
        <v>18.930025996000001</v>
      </c>
      <c r="G26" s="77">
        <v>23.293302382000004</v>
      </c>
      <c r="H26" s="77">
        <f>+SO_APU_1!D47</f>
        <v>4.4730524220000003</v>
      </c>
      <c r="I26" s="77"/>
      <c r="J26" s="77">
        <f t="shared" si="14"/>
        <v>4.4730524220000003</v>
      </c>
      <c r="K26" s="77">
        <f>+[12]SO_APU!$Q$47</f>
        <v>0</v>
      </c>
      <c r="L26" s="77"/>
      <c r="M26" s="77">
        <f t="shared" si="15"/>
        <v>0</v>
      </c>
      <c r="N26" s="77">
        <v>15.486862222999999</v>
      </c>
      <c r="O26" s="77"/>
      <c r="P26" s="77">
        <f t="shared" si="16"/>
        <v>15.486862222999999</v>
      </c>
      <c r="Q26" s="77">
        <v>22.886596776000001</v>
      </c>
      <c r="R26" s="77"/>
      <c r="S26" s="77">
        <f t="shared" si="2"/>
        <v>22.886596776000001</v>
      </c>
      <c r="T26" s="77">
        <v>5.82125834</v>
      </c>
      <c r="U26" s="77"/>
      <c r="V26" s="77">
        <f t="shared" si="3"/>
        <v>5.82125834</v>
      </c>
      <c r="W26" s="77">
        <v>11.936603308999999</v>
      </c>
      <c r="X26" s="77"/>
      <c r="Y26" s="77">
        <f t="shared" si="4"/>
        <v>11.936603308999999</v>
      </c>
      <c r="Z26" s="77">
        <v>17.879504961999999</v>
      </c>
      <c r="AA26" s="77"/>
      <c r="AB26" s="77">
        <f t="shared" si="5"/>
        <v>17.879504961999999</v>
      </c>
      <c r="AC26" s="77">
        <v>25.792982625</v>
      </c>
      <c r="AD26" s="77"/>
      <c r="AE26" s="77">
        <v>25.792982625</v>
      </c>
      <c r="AF26" s="77">
        <v>7.0031845549999998</v>
      </c>
      <c r="AG26" s="77"/>
      <c r="AH26" s="77">
        <v>7.0031845549999998</v>
      </c>
      <c r="AI26" s="77">
        <v>13.372411335999999</v>
      </c>
      <c r="AJ26" s="77"/>
      <c r="AK26" s="77">
        <v>13.372411335999999</v>
      </c>
      <c r="AL26" s="77">
        <v>18.099075548999998</v>
      </c>
      <c r="AM26" s="77"/>
      <c r="AN26" s="77">
        <v>18.099075548999998</v>
      </c>
      <c r="AO26" s="77">
        <v>21.613433997999998</v>
      </c>
      <c r="AP26" s="77"/>
      <c r="AQ26" s="77">
        <v>21.613433997999998</v>
      </c>
      <c r="AR26" s="77">
        <v>8.8750114490000005</v>
      </c>
      <c r="AS26" s="77"/>
      <c r="AT26" s="77">
        <v>8.8750114490000005</v>
      </c>
      <c r="AU26" s="77">
        <v>15.430974018000001</v>
      </c>
      <c r="AV26" s="77"/>
      <c r="AW26" s="77">
        <v>15.430974018000001</v>
      </c>
    </row>
    <row r="27" spans="1:49" ht="16">
      <c r="A27" s="81" t="s">
        <v>171</v>
      </c>
      <c r="B27" s="77">
        <v>227.92061931699999</v>
      </c>
      <c r="C27" s="77">
        <v>83.53</v>
      </c>
      <c r="D27" s="77">
        <v>36.68</v>
      </c>
      <c r="E27" s="77">
        <v>57.59</v>
      </c>
      <c r="F27" s="77">
        <v>39.646233343999995</v>
      </c>
      <c r="G27" s="77">
        <v>106.31426635500002</v>
      </c>
      <c r="H27" s="77">
        <f>+SO_APU_1!D48</f>
        <v>69.832540183000006</v>
      </c>
      <c r="I27" s="77">
        <v>17.2</v>
      </c>
      <c r="J27" s="77">
        <f t="shared" si="14"/>
        <v>52.632540183000003</v>
      </c>
      <c r="K27" s="77">
        <f>+[12]SO_APU!$Q$48</f>
        <v>0</v>
      </c>
      <c r="L27" s="77">
        <v>37.32</v>
      </c>
      <c r="M27" s="77">
        <f t="shared" si="15"/>
        <v>-37.32</v>
      </c>
      <c r="N27" s="77">
        <v>144.12440310899999</v>
      </c>
      <c r="O27" s="77">
        <v>59.13</v>
      </c>
      <c r="P27" s="77">
        <f t="shared" si="16"/>
        <v>84.99440310899999</v>
      </c>
      <c r="Q27" s="77">
        <v>184.44154207699998</v>
      </c>
      <c r="R27" s="77">
        <v>72.010000000000005</v>
      </c>
      <c r="S27" s="77">
        <f t="shared" si="2"/>
        <v>112.43154207699997</v>
      </c>
      <c r="T27" s="77">
        <v>54.547852613000003</v>
      </c>
      <c r="U27" s="77">
        <v>10.07</v>
      </c>
      <c r="V27" s="77">
        <f t="shared" si="3"/>
        <v>44.477852613000003</v>
      </c>
      <c r="W27" s="77">
        <v>103.72187521400001</v>
      </c>
      <c r="X27" s="77">
        <v>31.288537014999999</v>
      </c>
      <c r="Y27" s="77">
        <f t="shared" si="4"/>
        <v>72.433338199000005</v>
      </c>
      <c r="Z27" s="77">
        <v>128.24754567799999</v>
      </c>
      <c r="AA27" s="77">
        <v>41.471429966000002</v>
      </c>
      <c r="AB27" s="77">
        <f t="shared" si="5"/>
        <v>86.776115711999992</v>
      </c>
      <c r="AC27" s="77">
        <v>148.504798733</v>
      </c>
      <c r="AD27" s="77">
        <v>41.47</v>
      </c>
      <c r="AE27" s="77">
        <v>107.034798733</v>
      </c>
      <c r="AF27" s="77">
        <v>77.046020701999993</v>
      </c>
      <c r="AG27" s="77">
        <v>21.914337517</v>
      </c>
      <c r="AH27" s="77">
        <v>55.131683184999993</v>
      </c>
      <c r="AI27" s="77">
        <v>142.09921113399997</v>
      </c>
      <c r="AJ27" s="77">
        <v>74.2</v>
      </c>
      <c r="AK27" s="77">
        <v>67.89921113399997</v>
      </c>
      <c r="AL27" s="77">
        <v>178.44348019999995</v>
      </c>
      <c r="AM27" s="77">
        <v>74.2</v>
      </c>
      <c r="AN27" s="77">
        <v>104.24348019999995</v>
      </c>
      <c r="AO27" s="77">
        <v>201.44942852599996</v>
      </c>
      <c r="AP27" s="77">
        <v>84.7</v>
      </c>
      <c r="AQ27" s="77">
        <v>116.74942852599996</v>
      </c>
      <c r="AR27" s="77">
        <v>69.383514323</v>
      </c>
      <c r="AS27" s="77"/>
      <c r="AT27" s="77">
        <v>69.383514323</v>
      </c>
      <c r="AU27" s="77">
        <v>81.396318852000007</v>
      </c>
      <c r="AV27" s="77"/>
      <c r="AW27" s="77">
        <v>81.396318852000007</v>
      </c>
    </row>
    <row r="28" spans="1:49" ht="16">
      <c r="A28" s="82" t="s">
        <v>172</v>
      </c>
      <c r="B28" s="73">
        <v>-47.18751344067914</v>
      </c>
      <c r="C28" s="73">
        <v>97.4699999999998</v>
      </c>
      <c r="D28" s="73">
        <v>-159.65999999999997</v>
      </c>
      <c r="E28" s="73">
        <v>-706.28999999999951</v>
      </c>
      <c r="F28" s="73">
        <v>-668.93280928291188</v>
      </c>
      <c r="G28" s="73">
        <v>-146.82126051818796</v>
      </c>
      <c r="H28" s="73">
        <f>+H4-H20</f>
        <v>-320.51607564817522</v>
      </c>
      <c r="I28" s="73">
        <f t="shared" ref="I28:M28" si="17">+I4-I20</f>
        <v>-36.381206386999999</v>
      </c>
      <c r="J28" s="73">
        <f t="shared" si="17"/>
        <v>-284.13486926117531</v>
      </c>
      <c r="K28" s="73">
        <f t="shared" si="17"/>
        <v>1278.8523024836895</v>
      </c>
      <c r="L28" s="73">
        <f t="shared" si="17"/>
        <v>-57.96029028400001</v>
      </c>
      <c r="M28" s="73">
        <f t="shared" si="17"/>
        <v>1336.8125927676899</v>
      </c>
      <c r="N28" s="73">
        <f t="shared" ref="N28:O28" si="18">+N4-N20</f>
        <v>-488.76830954766251</v>
      </c>
      <c r="O28" s="73">
        <f t="shared" si="18"/>
        <v>-76.560000000000059</v>
      </c>
      <c r="P28" s="73">
        <f>+P4-P20</f>
        <v>-412.20830954766257</v>
      </c>
      <c r="Q28" s="73">
        <f t="shared" ref="Q28" si="19">+Q4-Q20</f>
        <v>-236.80686464378005</v>
      </c>
      <c r="R28" s="73">
        <f>+R4-R20</f>
        <v>-99.13</v>
      </c>
      <c r="S28" s="73">
        <f>+Q28+R28</f>
        <v>-335.93686464378004</v>
      </c>
      <c r="T28" s="73">
        <v>-513.88599781962068</v>
      </c>
      <c r="U28" s="73">
        <f>+U4-U20</f>
        <v>-41.03</v>
      </c>
      <c r="V28" s="73">
        <f t="shared" si="3"/>
        <v>-472.85599781962071</v>
      </c>
      <c r="W28" s="73">
        <v>-492.02161228485153</v>
      </c>
      <c r="X28" s="73">
        <f>+X4-X20</f>
        <v>-81.199999999999989</v>
      </c>
      <c r="Y28" s="73">
        <f t="shared" si="4"/>
        <v>-410.82161228485154</v>
      </c>
      <c r="Z28" s="73">
        <v>-495.13273181977661</v>
      </c>
      <c r="AA28" s="73">
        <f>+AA4-AA20</f>
        <v>-123.30000000000004</v>
      </c>
      <c r="AB28" s="73">
        <f t="shared" si="5"/>
        <v>-371.83273181977654</v>
      </c>
      <c r="AC28" s="73">
        <v>-627.297180998778</v>
      </c>
      <c r="AD28" s="73">
        <v>-166.79300000000006</v>
      </c>
      <c r="AE28" s="73">
        <v>-460.50418099877794</v>
      </c>
      <c r="AF28" s="73">
        <v>-392.84789059059699</v>
      </c>
      <c r="AG28" s="73">
        <v>-44.885071331000006</v>
      </c>
      <c r="AH28" s="73">
        <v>-347.96281925959698</v>
      </c>
      <c r="AI28" s="73">
        <v>-303.6713057190027</v>
      </c>
      <c r="AJ28" s="73">
        <v>-88.339437137000004</v>
      </c>
      <c r="AK28" s="73">
        <v>-215.3318685820027</v>
      </c>
      <c r="AL28" s="73">
        <v>-478.93360429575387</v>
      </c>
      <c r="AM28" s="73">
        <v>-135.21</v>
      </c>
      <c r="AN28" s="73">
        <v>-343.72360429575383</v>
      </c>
      <c r="AO28" s="73">
        <v>-283.75963070555508</v>
      </c>
      <c r="AP28" s="73">
        <v>0</v>
      </c>
      <c r="AQ28" s="73">
        <v>-283.75963070555508</v>
      </c>
      <c r="AR28" s="73">
        <v>-391.76485134719348</v>
      </c>
      <c r="AS28" s="73">
        <v>-5.019999999999996</v>
      </c>
      <c r="AT28" s="73">
        <v>-396.78485134719347</v>
      </c>
      <c r="AU28" s="73">
        <v>-331.12892613145459</v>
      </c>
      <c r="AV28" s="73">
        <v>-10.149999999999977</v>
      </c>
      <c r="AW28" s="73">
        <v>-341.27892613145457</v>
      </c>
    </row>
    <row r="29" spans="1:49" ht="16">
      <c r="A29" s="83" t="s">
        <v>173</v>
      </c>
      <c r="B29" s="77">
        <v>587.6967364840001</v>
      </c>
      <c r="C29" s="77">
        <v>637.39</v>
      </c>
      <c r="D29" s="77">
        <v>195.71</v>
      </c>
      <c r="E29" s="77">
        <v>372.06</v>
      </c>
      <c r="F29" s="77">
        <v>523.82465000895843</v>
      </c>
      <c r="G29" s="77">
        <v>607.10509467600002</v>
      </c>
      <c r="H29" s="77"/>
      <c r="I29" s="77"/>
      <c r="J29" s="77"/>
      <c r="K29" s="77"/>
      <c r="L29" s="77"/>
      <c r="M29" s="77"/>
      <c r="N29" s="77"/>
      <c r="O29" s="77"/>
      <c r="P29" s="77"/>
      <c r="Q29" s="77">
        <v>727.45840721055561</v>
      </c>
      <c r="R29" s="77"/>
      <c r="S29" s="77">
        <f t="shared" si="2"/>
        <v>727.45840721055561</v>
      </c>
      <c r="T29" s="77">
        <v>226.66617421599994</v>
      </c>
      <c r="U29" s="77"/>
      <c r="V29" s="77">
        <f t="shared" si="3"/>
        <v>226.66617421599994</v>
      </c>
      <c r="W29" s="77">
        <v>279.39779933962558</v>
      </c>
      <c r="X29" s="77"/>
      <c r="Y29" s="77">
        <f t="shared" si="4"/>
        <v>279.39779933962558</v>
      </c>
      <c r="Z29" s="77">
        <v>464.21707391945728</v>
      </c>
      <c r="AA29" s="77"/>
      <c r="AB29" s="77">
        <f t="shared" si="5"/>
        <v>464.21707391945728</v>
      </c>
      <c r="AC29" s="77">
        <v>422.179784219</v>
      </c>
      <c r="AD29" s="77"/>
      <c r="AE29" s="77">
        <v>422.179784219</v>
      </c>
      <c r="AF29" s="77">
        <v>173.620852969</v>
      </c>
      <c r="AG29" s="77"/>
      <c r="AH29" s="77">
        <v>173.620852969</v>
      </c>
      <c r="AI29" s="77">
        <v>310.87297889733338</v>
      </c>
      <c r="AJ29" s="77"/>
      <c r="AK29" s="77">
        <v>310.87297889733338</v>
      </c>
      <c r="AL29" s="77">
        <v>457.55215985377771</v>
      </c>
      <c r="AM29" s="77">
        <v>0</v>
      </c>
      <c r="AN29" s="77">
        <v>457.55215985377771</v>
      </c>
      <c r="AO29" s="77"/>
      <c r="AP29" s="77"/>
      <c r="AQ29" s="77">
        <v>0</v>
      </c>
      <c r="AR29" s="77"/>
      <c r="AS29" s="77"/>
      <c r="AT29" s="77">
        <v>0</v>
      </c>
      <c r="AU29" s="77"/>
      <c r="AV29" s="77"/>
      <c r="AW29" s="77">
        <v>0</v>
      </c>
    </row>
    <row r="30" spans="1:49" ht="16">
      <c r="A30" s="84" t="s">
        <v>174</v>
      </c>
      <c r="B30" s="77">
        <v>587.6967364840001</v>
      </c>
      <c r="C30" s="77">
        <v>637.39</v>
      </c>
      <c r="D30" s="77">
        <v>195.71</v>
      </c>
      <c r="E30" s="77">
        <v>372.06</v>
      </c>
      <c r="F30" s="77">
        <v>523.82465000895843</v>
      </c>
      <c r="G30" s="77">
        <v>610.2732181639999</v>
      </c>
      <c r="H30" s="77">
        <f>+SO_APU_1!D59</f>
        <v>209.52417442300001</v>
      </c>
      <c r="I30" s="77"/>
      <c r="J30" s="77">
        <f>+H30-I30</f>
        <v>209.52417442300001</v>
      </c>
      <c r="K30" s="77">
        <f>+[12]SO_APU!$Q$59</f>
        <v>0</v>
      </c>
      <c r="L30" s="77"/>
      <c r="M30" s="77">
        <f>+K30-L30</f>
        <v>0</v>
      </c>
      <c r="N30" s="77">
        <v>588.04935655711085</v>
      </c>
      <c r="O30" s="77"/>
      <c r="P30" s="77">
        <f>+N30-O30</f>
        <v>588.04935655711085</v>
      </c>
      <c r="Q30" s="77">
        <v>727.45840721055561</v>
      </c>
      <c r="R30" s="77"/>
      <c r="S30" s="77">
        <f t="shared" si="2"/>
        <v>727.45840721055561</v>
      </c>
      <c r="T30" s="77">
        <v>226.66617421599994</v>
      </c>
      <c r="U30" s="77"/>
      <c r="V30" s="77">
        <f t="shared" si="3"/>
        <v>226.66617421599994</v>
      </c>
      <c r="W30" s="77">
        <v>369.39779933962558</v>
      </c>
      <c r="X30" s="77"/>
      <c r="Y30" s="77">
        <f t="shared" si="4"/>
        <v>369.39779933962558</v>
      </c>
      <c r="Z30" s="77">
        <v>554.21707391945733</v>
      </c>
      <c r="AA30" s="77"/>
      <c r="AB30" s="77">
        <f t="shared" si="5"/>
        <v>554.21707391945733</v>
      </c>
      <c r="AC30" s="77">
        <v>669.179784219</v>
      </c>
      <c r="AD30" s="77"/>
      <c r="AE30" s="77">
        <v>669.179784219</v>
      </c>
      <c r="AF30" s="77">
        <v>173.620852969</v>
      </c>
      <c r="AG30" s="77"/>
      <c r="AH30" s="77">
        <v>173.620852969</v>
      </c>
      <c r="AI30" s="77">
        <v>310.87297889733338</v>
      </c>
      <c r="AJ30" s="77">
        <v>0</v>
      </c>
      <c r="AK30" s="77">
        <v>310.87297889733338</v>
      </c>
      <c r="AL30" s="77">
        <v>457.55215985377771</v>
      </c>
      <c r="AM30" s="77">
        <v>0</v>
      </c>
      <c r="AN30" s="77">
        <v>457.55215985377771</v>
      </c>
      <c r="AO30" s="77">
        <v>628.02109753944455</v>
      </c>
      <c r="AP30" s="77"/>
      <c r="AQ30" s="77">
        <v>628.02109753944455</v>
      </c>
      <c r="AR30" s="77">
        <v>165.03026689033331</v>
      </c>
      <c r="AS30" s="77"/>
      <c r="AT30" s="77">
        <v>165.03026689033331</v>
      </c>
      <c r="AU30" s="77">
        <v>286.58125669800006</v>
      </c>
      <c r="AV30" s="77"/>
      <c r="AW30" s="77">
        <v>286.58125669800006</v>
      </c>
    </row>
    <row r="31" spans="1:49" ht="16">
      <c r="A31" s="85" t="s">
        <v>81</v>
      </c>
      <c r="B31" s="77">
        <v>587.58000000000004</v>
      </c>
      <c r="C31" s="77">
        <v>637.39</v>
      </c>
      <c r="D31" s="77"/>
      <c r="E31" s="77">
        <v>371.48</v>
      </c>
      <c r="F31" s="77">
        <v>522.79141199395838</v>
      </c>
      <c r="G31" s="77">
        <v>606.00321816399992</v>
      </c>
      <c r="H31" s="77">
        <f>+SO_APU_1!D60</f>
        <v>209.02417442300001</v>
      </c>
      <c r="I31" s="77"/>
      <c r="J31" s="77">
        <f t="shared" ref="J31:J39" si="20">+H31-I31</f>
        <v>209.02417442300001</v>
      </c>
      <c r="K31" s="77">
        <f>+[12]SO_APU!$Q$60</f>
        <v>0</v>
      </c>
      <c r="L31" s="77"/>
      <c r="M31" s="77">
        <f t="shared" ref="M31:M39" si="21">+K31-L31</f>
        <v>0</v>
      </c>
      <c r="N31" s="77">
        <v>583.90856785711094</v>
      </c>
      <c r="O31" s="77"/>
      <c r="P31" s="77">
        <f t="shared" ref="P31:P39" si="22">+N31-O31</f>
        <v>583.90856785711094</v>
      </c>
      <c r="Q31" s="77">
        <v>722.73898488755549</v>
      </c>
      <c r="R31" s="77"/>
      <c r="S31" s="77">
        <f t="shared" si="2"/>
        <v>722.73898488755549</v>
      </c>
      <c r="T31" s="77">
        <v>226.66617421599994</v>
      </c>
      <c r="U31" s="77"/>
      <c r="V31" s="77">
        <f t="shared" si="3"/>
        <v>226.66617421599994</v>
      </c>
      <c r="W31" s="77">
        <v>368.38283683962555</v>
      </c>
      <c r="X31" s="77"/>
      <c r="Y31" s="77">
        <f t="shared" si="4"/>
        <v>368.38283683962555</v>
      </c>
      <c r="Z31" s="77">
        <v>553.06771671645731</v>
      </c>
      <c r="AA31" s="77"/>
      <c r="AB31" s="77">
        <f t="shared" si="5"/>
        <v>553.06771671645731</v>
      </c>
      <c r="AC31" s="77">
        <v>667.88568251200002</v>
      </c>
      <c r="AD31" s="77"/>
      <c r="AE31" s="77">
        <v>667.88568251200002</v>
      </c>
      <c r="AF31" s="77">
        <v>173.620852969</v>
      </c>
      <c r="AG31" s="77"/>
      <c r="AH31" s="77">
        <v>173.620852969</v>
      </c>
      <c r="AI31" s="77">
        <v>310.7862527973333</v>
      </c>
      <c r="AJ31" s="77"/>
      <c r="AK31" s="77">
        <v>310.7862527973333</v>
      </c>
      <c r="AL31" s="77">
        <v>456.39060425377778</v>
      </c>
      <c r="AM31" s="77"/>
      <c r="AN31" s="77">
        <v>456.39060425377778</v>
      </c>
      <c r="AO31" s="77">
        <v>626.41575628344447</v>
      </c>
      <c r="AP31" s="77"/>
      <c r="AQ31" s="77">
        <v>626.41575628344447</v>
      </c>
      <c r="AR31" s="77">
        <v>165.0124488903333</v>
      </c>
      <c r="AS31" s="77"/>
      <c r="AT31" s="77">
        <v>165.0124488903333</v>
      </c>
      <c r="AU31" s="77">
        <v>286.53776129799996</v>
      </c>
      <c r="AV31" s="77"/>
      <c r="AW31" s="77">
        <v>286.53776129799996</v>
      </c>
    </row>
    <row r="32" spans="1:49" ht="16">
      <c r="A32" s="85" t="s">
        <v>175</v>
      </c>
      <c r="B32" s="77">
        <v>5.7754774000000002E-2</v>
      </c>
      <c r="C32" s="77">
        <v>0.02</v>
      </c>
      <c r="D32" s="77"/>
      <c r="E32" s="77">
        <v>0.57999999999999996</v>
      </c>
      <c r="F32" s="77">
        <v>0.98337117500000004</v>
      </c>
      <c r="G32" s="77">
        <v>1.0520096720000001</v>
      </c>
      <c r="H32" s="77">
        <f>+SO_APU_1!D64</f>
        <v>0</v>
      </c>
      <c r="I32" s="77"/>
      <c r="J32" s="77">
        <f t="shared" si="20"/>
        <v>0</v>
      </c>
      <c r="K32" s="77">
        <f>+[12]SO_APU!$Q$64</f>
        <v>0</v>
      </c>
      <c r="L32" s="77"/>
      <c r="M32" s="77">
        <f t="shared" si="21"/>
        <v>0</v>
      </c>
      <c r="N32" s="77">
        <v>1.0908565000000001</v>
      </c>
      <c r="O32" s="77"/>
      <c r="P32" s="77">
        <f t="shared" si="22"/>
        <v>1.0908565000000001</v>
      </c>
      <c r="Q32" s="77">
        <v>1.6694901230000001</v>
      </c>
      <c r="R32" s="77"/>
      <c r="S32" s="77">
        <f t="shared" si="2"/>
        <v>1.6694901230000001</v>
      </c>
      <c r="T32" s="77">
        <v>0</v>
      </c>
      <c r="U32" s="77"/>
      <c r="V32" s="77">
        <f t="shared" si="3"/>
        <v>0</v>
      </c>
      <c r="W32" s="77">
        <v>1.0149625</v>
      </c>
      <c r="X32" s="77"/>
      <c r="Y32" s="77">
        <f t="shared" si="4"/>
        <v>1.0149625</v>
      </c>
      <c r="Z32" s="77">
        <v>1.132807203</v>
      </c>
      <c r="AA32" s="77"/>
      <c r="AB32" s="77">
        <f t="shared" si="5"/>
        <v>1.132807203</v>
      </c>
      <c r="AC32" s="77">
        <v>1.244247707</v>
      </c>
      <c r="AD32" s="77"/>
      <c r="AE32" s="77">
        <v>1.244247707</v>
      </c>
      <c r="AF32" s="77">
        <v>0</v>
      </c>
      <c r="AG32" s="77"/>
      <c r="AH32" s="77">
        <v>0</v>
      </c>
      <c r="AI32" s="77">
        <v>3.6831750000000003E-2</v>
      </c>
      <c r="AJ32" s="77"/>
      <c r="AK32" s="77">
        <v>3.6831750000000003E-2</v>
      </c>
      <c r="AL32" s="77">
        <v>1.11166125</v>
      </c>
      <c r="AM32" s="77"/>
      <c r="AN32" s="77">
        <v>1.11166125</v>
      </c>
      <c r="AO32" s="77">
        <v>1.5554469060000002</v>
      </c>
      <c r="AP32" s="77"/>
      <c r="AQ32" s="77">
        <v>1.5554469060000002</v>
      </c>
      <c r="AR32" s="77">
        <v>1.7818000000000001E-2</v>
      </c>
      <c r="AS32" s="77"/>
      <c r="AT32" s="77">
        <v>1.7818000000000001E-2</v>
      </c>
      <c r="AU32" s="77">
        <v>3.28004E-2</v>
      </c>
      <c r="AV32" s="77"/>
      <c r="AW32" s="77">
        <v>3.28004E-2</v>
      </c>
    </row>
    <row r="33" spans="1:49" ht="16">
      <c r="A33" s="85" t="s">
        <v>176</v>
      </c>
      <c r="B33" s="77">
        <v>0</v>
      </c>
      <c r="C33" s="77">
        <v>0.02</v>
      </c>
      <c r="D33" s="77"/>
      <c r="E33" s="77">
        <v>0</v>
      </c>
      <c r="F33" s="77">
        <v>4.9866840000000003E-2</v>
      </c>
      <c r="G33" s="77">
        <v>4.9866840000000003E-2</v>
      </c>
      <c r="H33" s="77">
        <f>+SO_APU_1!D65</f>
        <v>0</v>
      </c>
      <c r="I33" s="77"/>
      <c r="J33" s="77">
        <f t="shared" si="20"/>
        <v>0</v>
      </c>
      <c r="K33" s="77">
        <f>+[12]SO_APU!$Q$65</f>
        <v>0</v>
      </c>
      <c r="L33" s="77"/>
      <c r="M33" s="77">
        <f t="shared" si="21"/>
        <v>0</v>
      </c>
      <c r="N33" s="77">
        <v>4.9932199999999996E-2</v>
      </c>
      <c r="O33" s="77"/>
      <c r="P33" s="77">
        <f t="shared" si="22"/>
        <v>4.9932199999999996E-2</v>
      </c>
      <c r="Q33" s="77">
        <v>4.9932199999999996E-2</v>
      </c>
      <c r="R33" s="77"/>
      <c r="S33" s="77">
        <f t="shared" si="2"/>
        <v>4.9932199999999996E-2</v>
      </c>
      <c r="T33" s="77">
        <v>0</v>
      </c>
      <c r="U33" s="77"/>
      <c r="V33" s="77">
        <f t="shared" si="3"/>
        <v>0</v>
      </c>
      <c r="W33" s="77">
        <v>0</v>
      </c>
      <c r="X33" s="77"/>
      <c r="Y33" s="77">
        <f t="shared" si="4"/>
        <v>0</v>
      </c>
      <c r="Z33" s="77">
        <v>1.6549999999999999E-2</v>
      </c>
      <c r="AA33" s="77"/>
      <c r="AB33" s="77">
        <f t="shared" si="5"/>
        <v>1.6549999999999999E-2</v>
      </c>
      <c r="AC33" s="77">
        <v>4.9853999999999996E-2</v>
      </c>
      <c r="AD33" s="77"/>
      <c r="AE33" s="77">
        <v>4.9853999999999996E-2</v>
      </c>
      <c r="AF33" s="77">
        <v>0</v>
      </c>
      <c r="AG33" s="77"/>
      <c r="AH33" s="77">
        <v>0</v>
      </c>
      <c r="AI33" s="77">
        <v>4.9894349999999997E-2</v>
      </c>
      <c r="AJ33" s="77"/>
      <c r="AK33" s="77">
        <v>4.9894349999999997E-2</v>
      </c>
      <c r="AL33" s="77">
        <v>4.9894349999999997E-2</v>
      </c>
      <c r="AM33" s="77"/>
      <c r="AN33" s="77">
        <v>4.9894349999999997E-2</v>
      </c>
      <c r="AO33" s="77">
        <v>4.9894349999999997E-2</v>
      </c>
      <c r="AP33" s="77"/>
      <c r="AQ33" s="77">
        <v>4.9894349999999997E-2</v>
      </c>
      <c r="AR33" s="77">
        <v>0</v>
      </c>
      <c r="AS33" s="77"/>
      <c r="AT33" s="77">
        <v>0</v>
      </c>
      <c r="AU33" s="77">
        <v>1.0695E-2</v>
      </c>
      <c r="AV33" s="77"/>
      <c r="AW33" s="77">
        <v>1.0695E-2</v>
      </c>
    </row>
    <row r="34" spans="1:49" ht="16">
      <c r="A34" s="85" t="s">
        <v>177</v>
      </c>
      <c r="B34" s="77">
        <v>5.898171E-2</v>
      </c>
      <c r="C34" s="77">
        <v>5.898171E-2</v>
      </c>
      <c r="D34" s="77"/>
      <c r="E34" s="77">
        <v>0</v>
      </c>
      <c r="F34" s="77">
        <v>0</v>
      </c>
      <c r="G34" s="77">
        <v>0</v>
      </c>
      <c r="H34" s="77">
        <f>+SO_APU_1!D66</f>
        <v>0.5</v>
      </c>
      <c r="I34" s="77"/>
      <c r="J34" s="77">
        <f t="shared" si="20"/>
        <v>0.5</v>
      </c>
      <c r="K34" s="77">
        <f>+[12]SO_APU!$Q$66</f>
        <v>0</v>
      </c>
      <c r="L34" s="77"/>
      <c r="M34" s="77">
        <f t="shared" si="21"/>
        <v>0</v>
      </c>
      <c r="N34" s="77">
        <v>3</v>
      </c>
      <c r="O34" s="77"/>
      <c r="P34" s="77">
        <f t="shared" si="22"/>
        <v>3</v>
      </c>
      <c r="Q34" s="77">
        <v>3</v>
      </c>
      <c r="R34" s="77"/>
      <c r="S34" s="77">
        <f t="shared" si="2"/>
        <v>3</v>
      </c>
      <c r="T34" s="77">
        <v>0</v>
      </c>
      <c r="U34" s="77"/>
      <c r="V34" s="77">
        <f t="shared" si="3"/>
        <v>0</v>
      </c>
      <c r="W34" s="77">
        <v>0</v>
      </c>
      <c r="X34" s="77"/>
      <c r="Y34" s="77">
        <f t="shared" si="4"/>
        <v>0</v>
      </c>
      <c r="Z34" s="77">
        <v>0</v>
      </c>
      <c r="AA34" s="77"/>
      <c r="AB34" s="77">
        <f t="shared" si="5"/>
        <v>0</v>
      </c>
      <c r="AC34" s="77">
        <v>0</v>
      </c>
      <c r="AD34" s="77"/>
      <c r="AE34" s="77">
        <v>0</v>
      </c>
      <c r="AF34" s="77">
        <v>0</v>
      </c>
      <c r="AG34" s="77"/>
      <c r="AH34" s="77">
        <v>0</v>
      </c>
      <c r="AI34" s="77">
        <v>0</v>
      </c>
      <c r="AJ34" s="77"/>
      <c r="AK34" s="77">
        <v>0</v>
      </c>
      <c r="AL34" s="77">
        <v>0</v>
      </c>
      <c r="AM34" s="77"/>
      <c r="AN34" s="77">
        <v>0</v>
      </c>
      <c r="AO34" s="77">
        <v>0</v>
      </c>
      <c r="AP34" s="77"/>
      <c r="AQ34" s="77">
        <v>0</v>
      </c>
      <c r="AR34" s="77">
        <v>0</v>
      </c>
      <c r="AS34" s="77"/>
      <c r="AT34" s="77">
        <v>0</v>
      </c>
      <c r="AU34" s="77">
        <v>0</v>
      </c>
      <c r="AV34" s="77"/>
      <c r="AW34" s="77">
        <v>0</v>
      </c>
    </row>
    <row r="35" spans="1:49" ht="16">
      <c r="A35" s="84" t="s">
        <v>178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/>
      <c r="J35" s="77">
        <f t="shared" si="20"/>
        <v>0</v>
      </c>
      <c r="K35" s="77">
        <v>0</v>
      </c>
      <c r="L35" s="77"/>
      <c r="M35" s="77">
        <f t="shared" si="21"/>
        <v>0</v>
      </c>
      <c r="N35" s="77">
        <v>0</v>
      </c>
      <c r="O35" s="77"/>
      <c r="P35" s="77">
        <f t="shared" si="22"/>
        <v>0</v>
      </c>
      <c r="Q35" s="77">
        <v>0</v>
      </c>
      <c r="R35" s="77"/>
      <c r="S35" s="77">
        <f t="shared" si="2"/>
        <v>0</v>
      </c>
      <c r="T35" s="77">
        <v>0</v>
      </c>
      <c r="U35" s="77"/>
      <c r="V35" s="77">
        <f t="shared" si="3"/>
        <v>0</v>
      </c>
      <c r="W35" s="77">
        <v>90</v>
      </c>
      <c r="X35" s="77"/>
      <c r="Y35" s="77">
        <f t="shared" si="4"/>
        <v>90</v>
      </c>
      <c r="Z35" s="77">
        <v>90</v>
      </c>
      <c r="AA35" s="77"/>
      <c r="AB35" s="77">
        <f t="shared" si="5"/>
        <v>90</v>
      </c>
      <c r="AC35" s="77">
        <v>247</v>
      </c>
      <c r="AD35" s="77"/>
      <c r="AE35" s="77">
        <v>247</v>
      </c>
      <c r="AF35" s="77">
        <v>0</v>
      </c>
      <c r="AG35" s="77"/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/>
      <c r="AQ35" s="77">
        <v>0</v>
      </c>
      <c r="AR35" s="77">
        <v>0</v>
      </c>
      <c r="AS35" s="77"/>
      <c r="AT35" s="77">
        <v>0</v>
      </c>
      <c r="AU35" s="77">
        <v>0</v>
      </c>
      <c r="AV35" s="77"/>
      <c r="AW35" s="77">
        <v>0</v>
      </c>
    </row>
    <row r="36" spans="1:49" ht="16">
      <c r="A36" s="85" t="s">
        <v>81</v>
      </c>
      <c r="B36" s="77"/>
      <c r="C36" s="77"/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/>
      <c r="J36" s="77">
        <f t="shared" si="20"/>
        <v>0</v>
      </c>
      <c r="K36" s="77">
        <v>0</v>
      </c>
      <c r="L36" s="77"/>
      <c r="M36" s="77">
        <f t="shared" si="21"/>
        <v>0</v>
      </c>
      <c r="N36" s="77">
        <v>0</v>
      </c>
      <c r="O36" s="77"/>
      <c r="P36" s="77">
        <f t="shared" si="22"/>
        <v>0</v>
      </c>
      <c r="Q36" s="77">
        <v>0</v>
      </c>
      <c r="R36" s="77"/>
      <c r="S36" s="77">
        <f t="shared" si="2"/>
        <v>0</v>
      </c>
      <c r="T36" s="77">
        <v>0</v>
      </c>
      <c r="U36" s="77"/>
      <c r="V36" s="77">
        <f t="shared" si="3"/>
        <v>0</v>
      </c>
      <c r="W36" s="77">
        <v>90</v>
      </c>
      <c r="X36" s="77"/>
      <c r="Y36" s="77">
        <f t="shared" si="4"/>
        <v>90</v>
      </c>
      <c r="Z36" s="77">
        <v>90</v>
      </c>
      <c r="AA36" s="77"/>
      <c r="AB36" s="77">
        <f t="shared" si="5"/>
        <v>90</v>
      </c>
      <c r="AC36" s="77">
        <v>247</v>
      </c>
      <c r="AD36" s="77"/>
      <c r="AE36" s="77">
        <v>247</v>
      </c>
      <c r="AF36" s="77">
        <v>0</v>
      </c>
      <c r="AG36" s="77"/>
      <c r="AH36" s="77">
        <v>0</v>
      </c>
      <c r="AI36" s="77">
        <v>0</v>
      </c>
      <c r="AJ36" s="77"/>
      <c r="AK36" s="77">
        <v>0</v>
      </c>
      <c r="AL36" s="77">
        <v>0</v>
      </c>
      <c r="AM36" s="77"/>
      <c r="AN36" s="77">
        <v>0</v>
      </c>
      <c r="AO36" s="77">
        <v>0</v>
      </c>
      <c r="AP36" s="77"/>
      <c r="AQ36" s="77">
        <v>0</v>
      </c>
      <c r="AR36" s="77">
        <v>0</v>
      </c>
      <c r="AS36" s="77"/>
      <c r="AT36" s="77">
        <v>0</v>
      </c>
      <c r="AU36" s="77">
        <v>0</v>
      </c>
      <c r="AV36" s="77"/>
      <c r="AW36" s="77">
        <v>0</v>
      </c>
    </row>
    <row r="37" spans="1:49" ht="16">
      <c r="A37" s="85" t="s">
        <v>179</v>
      </c>
      <c r="B37" s="77"/>
      <c r="C37" s="77"/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/>
      <c r="J37" s="77">
        <f t="shared" si="20"/>
        <v>0</v>
      </c>
      <c r="K37" s="77">
        <v>0</v>
      </c>
      <c r="L37" s="77"/>
      <c r="M37" s="77">
        <f t="shared" si="21"/>
        <v>0</v>
      </c>
      <c r="N37" s="77">
        <v>0</v>
      </c>
      <c r="O37" s="77"/>
      <c r="P37" s="77">
        <f t="shared" si="22"/>
        <v>0</v>
      </c>
      <c r="Q37" s="77">
        <v>0</v>
      </c>
      <c r="R37" s="77"/>
      <c r="S37" s="77">
        <f t="shared" si="2"/>
        <v>0</v>
      </c>
      <c r="T37" s="77">
        <v>0</v>
      </c>
      <c r="U37" s="77"/>
      <c r="V37" s="77">
        <f t="shared" si="3"/>
        <v>0</v>
      </c>
      <c r="W37" s="77">
        <v>0</v>
      </c>
      <c r="X37" s="77"/>
      <c r="Y37" s="77">
        <f t="shared" si="4"/>
        <v>0</v>
      </c>
      <c r="Z37" s="77">
        <v>0</v>
      </c>
      <c r="AA37" s="77"/>
      <c r="AB37" s="77">
        <f t="shared" si="5"/>
        <v>0</v>
      </c>
      <c r="AC37" s="77">
        <v>0</v>
      </c>
      <c r="AD37" s="77"/>
      <c r="AE37" s="77">
        <v>0</v>
      </c>
      <c r="AF37" s="77">
        <v>0</v>
      </c>
      <c r="AG37" s="77"/>
      <c r="AH37" s="77">
        <v>0</v>
      </c>
      <c r="AI37" s="77">
        <v>0</v>
      </c>
      <c r="AJ37" s="77"/>
      <c r="AK37" s="77">
        <v>0</v>
      </c>
      <c r="AL37" s="77">
        <v>0</v>
      </c>
      <c r="AM37" s="77"/>
      <c r="AN37" s="77">
        <v>0</v>
      </c>
      <c r="AO37" s="77">
        <v>0</v>
      </c>
      <c r="AP37" s="77"/>
      <c r="AQ37" s="77">
        <v>0</v>
      </c>
      <c r="AR37" s="77">
        <v>0</v>
      </c>
      <c r="AS37" s="77"/>
      <c r="AT37" s="77">
        <v>0</v>
      </c>
      <c r="AU37" s="77">
        <v>0</v>
      </c>
      <c r="AV37" s="77"/>
      <c r="AW37" s="77">
        <v>0</v>
      </c>
    </row>
    <row r="38" spans="1:49" ht="16">
      <c r="A38" s="85" t="s">
        <v>176</v>
      </c>
      <c r="B38" s="77"/>
      <c r="C38" s="77"/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/>
      <c r="J38" s="77">
        <f t="shared" si="20"/>
        <v>0</v>
      </c>
      <c r="K38" s="77">
        <v>0</v>
      </c>
      <c r="L38" s="77"/>
      <c r="M38" s="77">
        <f t="shared" si="21"/>
        <v>0</v>
      </c>
      <c r="N38" s="77">
        <v>0</v>
      </c>
      <c r="O38" s="77"/>
      <c r="P38" s="77">
        <f t="shared" si="22"/>
        <v>0</v>
      </c>
      <c r="Q38" s="77">
        <v>0</v>
      </c>
      <c r="R38" s="77"/>
      <c r="S38" s="77">
        <f t="shared" si="2"/>
        <v>0</v>
      </c>
      <c r="T38" s="77">
        <v>0</v>
      </c>
      <c r="U38" s="77"/>
      <c r="V38" s="77">
        <f t="shared" si="3"/>
        <v>0</v>
      </c>
      <c r="W38" s="77">
        <v>0</v>
      </c>
      <c r="X38" s="77"/>
      <c r="Y38" s="77">
        <f t="shared" si="4"/>
        <v>0</v>
      </c>
      <c r="Z38" s="77">
        <v>0</v>
      </c>
      <c r="AA38" s="77"/>
      <c r="AB38" s="77">
        <f t="shared" si="5"/>
        <v>0</v>
      </c>
      <c r="AC38" s="77">
        <v>0</v>
      </c>
      <c r="AD38" s="77"/>
      <c r="AE38" s="77">
        <v>0</v>
      </c>
      <c r="AF38" s="77">
        <v>0</v>
      </c>
      <c r="AG38" s="77"/>
      <c r="AH38" s="77">
        <v>0</v>
      </c>
      <c r="AI38" s="77">
        <v>0</v>
      </c>
      <c r="AJ38" s="77"/>
      <c r="AK38" s="77">
        <v>0</v>
      </c>
      <c r="AL38" s="77">
        <v>0</v>
      </c>
      <c r="AM38" s="77"/>
      <c r="AN38" s="77">
        <v>0</v>
      </c>
      <c r="AO38" s="77">
        <v>0</v>
      </c>
      <c r="AP38" s="77"/>
      <c r="AQ38" s="77">
        <v>0</v>
      </c>
      <c r="AR38" s="77">
        <v>0</v>
      </c>
      <c r="AS38" s="77"/>
      <c r="AT38" s="77">
        <v>0</v>
      </c>
      <c r="AU38" s="77">
        <v>0</v>
      </c>
      <c r="AV38" s="77"/>
      <c r="AW38" s="77">
        <v>0</v>
      </c>
    </row>
    <row r="39" spans="1:49" ht="16">
      <c r="A39" s="85" t="s">
        <v>177</v>
      </c>
      <c r="B39" s="77"/>
      <c r="C39" s="77"/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/>
      <c r="J39" s="77">
        <f t="shared" si="20"/>
        <v>0</v>
      </c>
      <c r="K39" s="77">
        <v>0</v>
      </c>
      <c r="L39" s="77"/>
      <c r="M39" s="77">
        <f t="shared" si="21"/>
        <v>0</v>
      </c>
      <c r="N39" s="77">
        <v>0</v>
      </c>
      <c r="O39" s="77"/>
      <c r="P39" s="77">
        <f t="shared" si="22"/>
        <v>0</v>
      </c>
      <c r="Q39" s="77">
        <v>0</v>
      </c>
      <c r="R39" s="77"/>
      <c r="S39" s="77">
        <f t="shared" si="2"/>
        <v>0</v>
      </c>
      <c r="T39" s="77">
        <v>0</v>
      </c>
      <c r="U39" s="77"/>
      <c r="V39" s="77">
        <f t="shared" si="3"/>
        <v>0</v>
      </c>
      <c r="W39" s="77">
        <v>0</v>
      </c>
      <c r="X39" s="77"/>
      <c r="Y39" s="77">
        <f t="shared" si="4"/>
        <v>0</v>
      </c>
      <c r="Z39" s="77">
        <v>0</v>
      </c>
      <c r="AA39" s="77"/>
      <c r="AB39" s="77">
        <f t="shared" si="5"/>
        <v>0</v>
      </c>
      <c r="AC39" s="77">
        <v>0</v>
      </c>
      <c r="AD39" s="77"/>
      <c r="AE39" s="77">
        <v>0</v>
      </c>
      <c r="AF39" s="77">
        <v>0</v>
      </c>
      <c r="AG39" s="77"/>
      <c r="AH39" s="77">
        <v>0</v>
      </c>
      <c r="AI39" s="77">
        <v>0</v>
      </c>
      <c r="AJ39" s="77"/>
      <c r="AK39" s="77">
        <v>0</v>
      </c>
      <c r="AL39" s="77">
        <v>0</v>
      </c>
      <c r="AM39" s="77"/>
      <c r="AN39" s="77">
        <v>0</v>
      </c>
      <c r="AO39" s="77">
        <v>0</v>
      </c>
      <c r="AP39" s="77"/>
      <c r="AQ39" s="77">
        <v>0</v>
      </c>
      <c r="AR39" s="77">
        <v>0</v>
      </c>
      <c r="AS39" s="77"/>
      <c r="AT39" s="77">
        <v>0</v>
      </c>
      <c r="AU39" s="77">
        <v>0</v>
      </c>
      <c r="AV39" s="77"/>
      <c r="AW39" s="77">
        <v>0</v>
      </c>
    </row>
    <row r="40" spans="1:49" ht="16">
      <c r="A40" s="82" t="s">
        <v>180</v>
      </c>
      <c r="B40" s="73">
        <v>-587.6967364840001</v>
      </c>
      <c r="C40" s="73">
        <v>-539.92000000000019</v>
      </c>
      <c r="D40" s="73">
        <v>-195.71</v>
      </c>
      <c r="E40" s="73">
        <v>-372.06</v>
      </c>
      <c r="F40" s="73">
        <v>-523.82465000895843</v>
      </c>
      <c r="G40" s="73">
        <v>-607.10509467600002</v>
      </c>
      <c r="H40" s="73">
        <f>+H30-H35</f>
        <v>209.52417442300001</v>
      </c>
      <c r="I40" s="73">
        <f t="shared" ref="I40:M40" si="23">+I30-I35</f>
        <v>0</v>
      </c>
      <c r="J40" s="73">
        <f t="shared" si="23"/>
        <v>209.52417442300001</v>
      </c>
      <c r="K40" s="73">
        <f t="shared" si="23"/>
        <v>0</v>
      </c>
      <c r="L40" s="73">
        <f t="shared" si="23"/>
        <v>0</v>
      </c>
      <c r="M40" s="73">
        <f t="shared" si="23"/>
        <v>0</v>
      </c>
      <c r="N40" s="73">
        <f t="shared" ref="N40:O40" si="24">+N30-N35</f>
        <v>588.04935655711085</v>
      </c>
      <c r="O40" s="73">
        <f t="shared" si="24"/>
        <v>0</v>
      </c>
      <c r="P40" s="73">
        <f>+P30-P35</f>
        <v>588.04935655711085</v>
      </c>
      <c r="Q40" s="73">
        <f>+Q28-Q29</f>
        <v>-964.26527185433565</v>
      </c>
      <c r="R40" s="73">
        <f>+R28-R29</f>
        <v>-99.13</v>
      </c>
      <c r="S40" s="73">
        <f>+Q40-R40</f>
        <v>-865.13527185433566</v>
      </c>
      <c r="T40" s="73">
        <v>-740.55217203562063</v>
      </c>
      <c r="U40" s="73">
        <f>+U28-U29</f>
        <v>-41.03</v>
      </c>
      <c r="V40" s="73">
        <f t="shared" si="3"/>
        <v>-699.52217203562066</v>
      </c>
      <c r="W40" s="73">
        <v>-771.41941162447699</v>
      </c>
      <c r="X40" s="73">
        <f>+X28-X29</f>
        <v>-81.199999999999989</v>
      </c>
      <c r="Y40" s="73">
        <f t="shared" si="4"/>
        <v>-690.21941162447706</v>
      </c>
      <c r="Z40" s="73">
        <v>-959.34980573923372</v>
      </c>
      <c r="AA40" s="73">
        <f>+AA28-AA29</f>
        <v>-123.30000000000004</v>
      </c>
      <c r="AB40" s="73">
        <f t="shared" si="5"/>
        <v>-836.04980573923365</v>
      </c>
      <c r="AC40" s="73">
        <v>-1049.4769652177781</v>
      </c>
      <c r="AD40" s="73">
        <v>-166.79300000000006</v>
      </c>
      <c r="AE40" s="73">
        <v>-882.683965217778</v>
      </c>
      <c r="AF40" s="73">
        <v>-173.620852969</v>
      </c>
      <c r="AG40" s="73">
        <v>-44.885071331000006</v>
      </c>
      <c r="AH40" s="73">
        <v>-128.73578163799999</v>
      </c>
      <c r="AI40" s="73">
        <v>-310.87297889733338</v>
      </c>
      <c r="AJ40" s="73"/>
      <c r="AK40" s="73">
        <v>-310.87297889733338</v>
      </c>
      <c r="AL40" s="73">
        <v>-457.55215985377771</v>
      </c>
      <c r="AM40" s="73">
        <v>0</v>
      </c>
      <c r="AN40" s="73">
        <v>-457.55215985377771</v>
      </c>
      <c r="AO40" s="73">
        <v>-628.02109753944455</v>
      </c>
      <c r="AP40" s="73"/>
      <c r="AQ40" s="73">
        <v>-628.02109753944455</v>
      </c>
      <c r="AR40" s="73"/>
      <c r="AS40" s="73"/>
      <c r="AT40" s="73">
        <v>0</v>
      </c>
      <c r="AU40" s="73"/>
      <c r="AV40" s="73"/>
      <c r="AW40" s="73">
        <v>0</v>
      </c>
    </row>
    <row r="41" spans="1:49" ht="16">
      <c r="A41" s="86" t="s">
        <v>181</v>
      </c>
      <c r="B41" s="73">
        <v>-634.88424992467924</v>
      </c>
      <c r="C41" s="73">
        <v>-539.92000000000019</v>
      </c>
      <c r="D41" s="73">
        <v>-355.37</v>
      </c>
      <c r="E41" s="73">
        <v>-1078.3499999999995</v>
      </c>
      <c r="F41" s="73">
        <v>-1192.7574592918704</v>
      </c>
      <c r="G41" s="73">
        <v>-753.92635519418798</v>
      </c>
      <c r="H41" s="73"/>
      <c r="I41" s="73"/>
      <c r="J41" s="73"/>
      <c r="K41" s="73">
        <f>+K28-K40</f>
        <v>1278.8523024836895</v>
      </c>
      <c r="L41" s="73"/>
      <c r="M41" s="73"/>
      <c r="N41" s="73">
        <f>+N28-N40</f>
        <v>-1076.8176661047733</v>
      </c>
      <c r="O41" s="73"/>
      <c r="P41" s="73"/>
      <c r="Q41" s="73"/>
      <c r="R41" s="73"/>
      <c r="S41" s="73">
        <f t="shared" si="2"/>
        <v>0</v>
      </c>
      <c r="T41" s="73"/>
      <c r="U41" s="73"/>
      <c r="V41" s="73">
        <f t="shared" si="3"/>
        <v>0</v>
      </c>
      <c r="W41" s="73"/>
      <c r="X41" s="73"/>
      <c r="Y41" s="73">
        <f t="shared" si="4"/>
        <v>0</v>
      </c>
      <c r="Z41" s="73"/>
      <c r="AA41" s="73"/>
      <c r="AB41" s="73">
        <f t="shared" si="5"/>
        <v>0</v>
      </c>
      <c r="AC41" s="73"/>
      <c r="AD41" s="73"/>
      <c r="AE41" s="73">
        <v>0</v>
      </c>
      <c r="AF41" s="73">
        <v>-566.46874355959699</v>
      </c>
      <c r="AG41" s="73">
        <v>44.839999999999996</v>
      </c>
      <c r="AH41" s="73">
        <v>-611.30874355959702</v>
      </c>
      <c r="AI41" s="73">
        <v>-614.54428461633609</v>
      </c>
      <c r="AJ41" s="73"/>
      <c r="AK41" s="73">
        <v>-614.54428461633609</v>
      </c>
      <c r="AL41" s="73">
        <v>-936.48576414953163</v>
      </c>
      <c r="AM41" s="73">
        <v>-135.21</v>
      </c>
      <c r="AN41" s="73">
        <v>-801.2757641495316</v>
      </c>
      <c r="AO41" s="73">
        <v>-911.78072824499964</v>
      </c>
      <c r="AP41" s="73"/>
      <c r="AQ41" s="73">
        <v>-911.78072824499964</v>
      </c>
      <c r="AR41" s="73">
        <v>-556.79511823752671</v>
      </c>
      <c r="AS41" s="73">
        <v>-5.019999999999996</v>
      </c>
      <c r="AT41" s="73">
        <v>-561.81511823752669</v>
      </c>
      <c r="AU41" s="73">
        <v>-617.71018282945465</v>
      </c>
      <c r="AV41" s="73">
        <v>-10.149999999999977</v>
      </c>
      <c r="AW41" s="73">
        <v>-627.86018282945463</v>
      </c>
    </row>
    <row r="42" spans="1:49" ht="16">
      <c r="A42" s="83" t="s">
        <v>182</v>
      </c>
      <c r="B42" s="77"/>
      <c r="C42" s="77"/>
      <c r="D42" s="77">
        <v>253.54000000000002</v>
      </c>
      <c r="E42" s="77">
        <v>1382.6399999999999</v>
      </c>
      <c r="F42" s="77">
        <v>1404.4994127355001</v>
      </c>
      <c r="G42" s="77">
        <v>932.8225918534921</v>
      </c>
      <c r="H42" s="77">
        <f>+H43+H46</f>
        <v>462.05881843443905</v>
      </c>
      <c r="I42" s="77">
        <f>+I43+I46</f>
        <v>24.559272448999998</v>
      </c>
      <c r="J42" s="77">
        <f>+H42-I42</f>
        <v>437.49954598543906</v>
      </c>
      <c r="K42" s="77">
        <f>+K43+K46</f>
        <v>0</v>
      </c>
      <c r="L42" s="77">
        <f>+L43+L46</f>
        <v>57.978056375999998</v>
      </c>
      <c r="M42" s="77">
        <f>+K42-L42</f>
        <v>-57.978056375999998</v>
      </c>
      <c r="N42" s="77">
        <f>+N43+N46</f>
        <v>1414.6722426401211</v>
      </c>
      <c r="O42" s="77">
        <f>+O43+O46</f>
        <v>75.81</v>
      </c>
      <c r="P42" s="77">
        <f>+N42-O42</f>
        <v>1338.8622426401212</v>
      </c>
      <c r="Q42" s="77">
        <f>+Q43+Q46</f>
        <v>1469.8902599193434</v>
      </c>
      <c r="R42" s="77">
        <f>+R43+R46</f>
        <v>99.1</v>
      </c>
      <c r="S42" s="77">
        <f>+Q42-R42</f>
        <v>1370.7902599193435</v>
      </c>
      <c r="T42" s="77">
        <f>+T43+T46</f>
        <v>703.83444345286875</v>
      </c>
      <c r="U42" s="77">
        <f>+U43+U46</f>
        <v>21.8</v>
      </c>
      <c r="V42" s="77">
        <f t="shared" si="3"/>
        <v>682.0344434528688</v>
      </c>
      <c r="W42" s="77">
        <f>+W43+W46</f>
        <v>1099.9865331132053</v>
      </c>
      <c r="X42" s="77">
        <f>+X43+X46</f>
        <v>81.2</v>
      </c>
      <c r="Y42" s="77">
        <f t="shared" si="4"/>
        <v>1018.7865331132052</v>
      </c>
      <c r="Z42" s="77">
        <v>1429.7200672110371</v>
      </c>
      <c r="AA42" s="77">
        <f>+AA43+AA46</f>
        <v>123.3</v>
      </c>
      <c r="AB42" s="77">
        <f t="shared" si="5"/>
        <v>1306.4200672110371</v>
      </c>
      <c r="AC42" s="77">
        <v>1603.6046176754205</v>
      </c>
      <c r="AD42" s="77">
        <v>166.8</v>
      </c>
      <c r="AE42" s="77">
        <v>1436.8046176754206</v>
      </c>
      <c r="AF42" s="77"/>
      <c r="AG42" s="77"/>
      <c r="AH42" s="77">
        <v>0</v>
      </c>
      <c r="AI42" s="77"/>
      <c r="AJ42" s="77"/>
      <c r="AK42" s="77"/>
      <c r="AL42" s="77"/>
      <c r="AM42" s="77"/>
      <c r="AN42" s="77"/>
      <c r="AO42" s="77"/>
      <c r="AP42" s="77"/>
      <c r="AQ42" s="77">
        <v>0</v>
      </c>
      <c r="AR42" s="77"/>
      <c r="AS42" s="77"/>
      <c r="AT42" s="77">
        <v>0</v>
      </c>
      <c r="AU42" s="77"/>
      <c r="AV42" s="77"/>
      <c r="AW42" s="77">
        <v>0</v>
      </c>
    </row>
    <row r="43" spans="1:49" ht="16">
      <c r="A43" s="84" t="s">
        <v>183</v>
      </c>
      <c r="B43" s="77">
        <v>110.80000000000001</v>
      </c>
      <c r="C43" s="77">
        <v>176.93</v>
      </c>
      <c r="D43" s="77">
        <v>25.9</v>
      </c>
      <c r="E43" s="77">
        <v>352.77</v>
      </c>
      <c r="F43" s="77">
        <v>45.455954700000007</v>
      </c>
      <c r="G43" s="77">
        <v>-77.490000000000009</v>
      </c>
      <c r="H43" s="77">
        <v>7.8109549420000093</v>
      </c>
      <c r="I43" s="77">
        <f>+I44+I45</f>
        <v>0</v>
      </c>
      <c r="J43" s="77">
        <f t="shared" ref="J43:J48" si="25">+H43-I43</f>
        <v>7.8109549420000093</v>
      </c>
      <c r="K43" s="77">
        <f>+[12]SO_APU!$Q$69-[12]SO_APU!$Q$71</f>
        <v>0</v>
      </c>
      <c r="L43" s="77">
        <f>+L44+L45</f>
        <v>0</v>
      </c>
      <c r="M43" s="77">
        <f t="shared" ref="M43:M48" si="26">+K43-L43</f>
        <v>0</v>
      </c>
      <c r="N43" s="77">
        <v>108.71342085599998</v>
      </c>
      <c r="O43" s="77">
        <f>+O44+O45</f>
        <v>0</v>
      </c>
      <c r="P43" s="77">
        <f t="shared" ref="P43:P48" si="27">+N43-O43</f>
        <v>108.71342085599998</v>
      </c>
      <c r="Q43" s="77">
        <v>74.469543057999999</v>
      </c>
      <c r="R43" s="77">
        <v>0</v>
      </c>
      <c r="S43" s="77">
        <f t="shared" si="2"/>
        <v>74.469543057999999</v>
      </c>
      <c r="T43" s="77">
        <v>-9.784511578</v>
      </c>
      <c r="U43" s="77"/>
      <c r="V43" s="77">
        <f t="shared" si="3"/>
        <v>-9.784511578</v>
      </c>
      <c r="W43" s="77">
        <v>18.291401062999967</v>
      </c>
      <c r="X43" s="77"/>
      <c r="Y43" s="77">
        <f t="shared" si="4"/>
        <v>18.291401062999967</v>
      </c>
      <c r="Z43" s="77">
        <v>262.21479147500003</v>
      </c>
      <c r="AA43" s="77"/>
      <c r="AB43" s="77">
        <f t="shared" si="5"/>
        <v>262.21479147500003</v>
      </c>
      <c r="AC43" s="77">
        <v>246.96414708899988</v>
      </c>
      <c r="AD43" s="77"/>
      <c r="AE43" s="77">
        <v>246.96414708899988</v>
      </c>
      <c r="AF43" s="77">
        <v>257.97333656600006</v>
      </c>
      <c r="AG43" s="77">
        <v>5.7629999999999999</v>
      </c>
      <c r="AH43" s="77">
        <v>252.21033656600005</v>
      </c>
      <c r="AI43" s="77">
        <v>340.75862063199997</v>
      </c>
      <c r="AJ43" s="77">
        <v>9.8999999999999986</v>
      </c>
      <c r="AK43" s="77">
        <v>330.858620632</v>
      </c>
      <c r="AL43" s="77">
        <v>341.54849084</v>
      </c>
      <c r="AM43" s="77">
        <v>-39.5</v>
      </c>
      <c r="AN43" s="77">
        <v>381.04849084</v>
      </c>
      <c r="AO43" s="77">
        <v>347.09155076399998</v>
      </c>
      <c r="AP43" s="77"/>
      <c r="AQ43" s="77">
        <v>347.09155076399998</v>
      </c>
      <c r="AR43" s="77">
        <v>-6.4257578080000002</v>
      </c>
      <c r="AS43" s="77">
        <v>-5.0199999999999996</v>
      </c>
      <c r="AT43" s="77">
        <v>-11.445757808</v>
      </c>
      <c r="AU43" s="77">
        <v>203.05557118900003</v>
      </c>
      <c r="AV43" s="77">
        <v>-10.15</v>
      </c>
      <c r="AW43" s="77">
        <v>192.90557118900003</v>
      </c>
    </row>
    <row r="44" spans="1:49" ht="12" customHeight="1">
      <c r="A44" s="85" t="s">
        <v>97</v>
      </c>
      <c r="B44" s="77">
        <v>110.80000000000001</v>
      </c>
      <c r="C44" s="77">
        <v>176.93</v>
      </c>
      <c r="D44" s="77">
        <v>25.9</v>
      </c>
      <c r="E44" s="77">
        <v>352.77</v>
      </c>
      <c r="F44" s="77">
        <v>45.455954700000035</v>
      </c>
      <c r="G44" s="77">
        <v>-77.490000000000009</v>
      </c>
      <c r="H44" s="77">
        <v>7.8109549420000093</v>
      </c>
      <c r="I44" s="77"/>
      <c r="J44" s="77">
        <f t="shared" si="25"/>
        <v>7.8109549420000093</v>
      </c>
      <c r="K44" s="77">
        <f>+[12]SO_APU!$Q$70-[12]SO_APU!$Q$71</f>
        <v>0</v>
      </c>
      <c r="L44" s="77"/>
      <c r="M44" s="77">
        <f t="shared" si="26"/>
        <v>0</v>
      </c>
      <c r="N44" s="77">
        <v>108.71342085599998</v>
      </c>
      <c r="O44" s="77"/>
      <c r="P44" s="77">
        <f t="shared" si="27"/>
        <v>108.71342085599998</v>
      </c>
      <c r="Q44" s="77">
        <v>74.469543057999999</v>
      </c>
      <c r="R44" s="77"/>
      <c r="S44" s="77">
        <f t="shared" si="2"/>
        <v>74.469543057999999</v>
      </c>
      <c r="T44" s="77">
        <v>-9.784511578</v>
      </c>
      <c r="U44" s="77"/>
      <c r="V44" s="77">
        <f t="shared" si="3"/>
        <v>-9.784511578</v>
      </c>
      <c r="W44" s="77">
        <v>18.291401062999999</v>
      </c>
      <c r="X44" s="77"/>
      <c r="Y44" s="77">
        <f t="shared" si="4"/>
        <v>18.291401062999999</v>
      </c>
      <c r="Z44" s="77">
        <v>262.21479147500003</v>
      </c>
      <c r="AA44" s="77"/>
      <c r="AB44" s="77">
        <f t="shared" si="5"/>
        <v>262.21479147500003</v>
      </c>
      <c r="AC44" s="77">
        <v>246.96414708899988</v>
      </c>
      <c r="AD44" s="77"/>
      <c r="AE44" s="77">
        <v>246.96414708899988</v>
      </c>
      <c r="AF44" s="77">
        <v>257.97333656600006</v>
      </c>
      <c r="AG44" s="77">
        <v>5.7629999999999999</v>
      </c>
      <c r="AH44" s="77">
        <v>252.21033656600005</v>
      </c>
      <c r="AI44" s="77">
        <v>340.75862063199997</v>
      </c>
      <c r="AJ44" s="77">
        <v>9.8999999999999986</v>
      </c>
      <c r="AK44" s="77">
        <v>330.858620632</v>
      </c>
      <c r="AL44" s="77">
        <v>341.54849084</v>
      </c>
      <c r="AM44" s="77">
        <v>-39.5</v>
      </c>
      <c r="AN44" s="77">
        <v>381.04849084</v>
      </c>
      <c r="AO44" s="77">
        <v>347.09155076399998</v>
      </c>
      <c r="AP44" s="77"/>
      <c r="AQ44" s="77">
        <v>347.09155076399998</v>
      </c>
      <c r="AR44" s="77">
        <v>-6.4257578080000002</v>
      </c>
      <c r="AS44" s="77">
        <v>-5.0199999999999996</v>
      </c>
      <c r="AT44" s="77">
        <v>-11.445757808</v>
      </c>
      <c r="AU44" s="77">
        <v>203.05557118900003</v>
      </c>
      <c r="AV44" s="77">
        <v>-10.15</v>
      </c>
      <c r="AW44" s="77">
        <v>192.90557118900003</v>
      </c>
    </row>
    <row r="45" spans="1:49" ht="12" customHeight="1">
      <c r="A45" s="85" t="s">
        <v>108</v>
      </c>
      <c r="B45" s="77"/>
      <c r="C45" s="77"/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/>
      <c r="J45" s="77">
        <f t="shared" si="25"/>
        <v>0</v>
      </c>
      <c r="K45" s="77">
        <v>0</v>
      </c>
      <c r="L45" s="77"/>
      <c r="M45" s="77">
        <f t="shared" si="26"/>
        <v>0</v>
      </c>
      <c r="N45" s="77">
        <v>0</v>
      </c>
      <c r="O45" s="77"/>
      <c r="P45" s="77">
        <f t="shared" si="27"/>
        <v>0</v>
      </c>
      <c r="Q45" s="77">
        <v>0</v>
      </c>
      <c r="R45" s="77"/>
      <c r="S45" s="77">
        <f t="shared" si="2"/>
        <v>0</v>
      </c>
      <c r="T45" s="77">
        <v>0</v>
      </c>
      <c r="U45" s="77"/>
      <c r="V45" s="77">
        <f t="shared" si="3"/>
        <v>0</v>
      </c>
      <c r="W45" s="77">
        <v>0</v>
      </c>
      <c r="X45" s="77"/>
      <c r="Y45" s="77">
        <f t="shared" si="4"/>
        <v>0</v>
      </c>
      <c r="Z45" s="77">
        <v>0</v>
      </c>
      <c r="AA45" s="77"/>
      <c r="AB45" s="77">
        <f t="shared" si="5"/>
        <v>0</v>
      </c>
      <c r="AC45" s="77">
        <v>0</v>
      </c>
      <c r="AD45" s="77"/>
      <c r="AE45" s="77">
        <v>0</v>
      </c>
      <c r="AF45" s="77">
        <v>0</v>
      </c>
      <c r="AG45" s="77"/>
      <c r="AH45" s="77">
        <v>0</v>
      </c>
      <c r="AI45" s="77">
        <v>0</v>
      </c>
      <c r="AJ45" s="77"/>
      <c r="AK45" s="77">
        <v>0</v>
      </c>
      <c r="AL45" s="77">
        <v>0</v>
      </c>
      <c r="AM45" s="77"/>
      <c r="AN45" s="77">
        <v>0</v>
      </c>
      <c r="AO45" s="77">
        <v>0</v>
      </c>
      <c r="AP45" s="77"/>
      <c r="AQ45" s="77">
        <v>0</v>
      </c>
      <c r="AR45" s="77">
        <v>0</v>
      </c>
      <c r="AS45" s="77"/>
      <c r="AT45" s="77">
        <v>0</v>
      </c>
      <c r="AU45" s="77">
        <v>0</v>
      </c>
      <c r="AV45" s="77"/>
      <c r="AW45" s="77">
        <v>0</v>
      </c>
    </row>
    <row r="46" spans="1:49" ht="16">
      <c r="A46" s="84" t="s">
        <v>184</v>
      </c>
      <c r="B46" s="77">
        <v>817.38000000000011</v>
      </c>
      <c r="C46" s="77">
        <v>862.19</v>
      </c>
      <c r="D46" s="77">
        <v>227.64000000000001</v>
      </c>
      <c r="E46" s="77">
        <v>1029.8699999999999</v>
      </c>
      <c r="F46" s="77">
        <v>1359.0434580355002</v>
      </c>
      <c r="G46" s="77">
        <v>1010.3125918534921</v>
      </c>
      <c r="H46" s="77">
        <v>454.24786349243902</v>
      </c>
      <c r="I46" s="77">
        <f>+I47+I48</f>
        <v>24.559272448999998</v>
      </c>
      <c r="J46" s="77">
        <f>+H46-I46</f>
        <v>429.68859104343903</v>
      </c>
      <c r="K46" s="77">
        <f>+[12]SO_APU!$Q$82</f>
        <v>0</v>
      </c>
      <c r="L46" s="77">
        <f>+L47</f>
        <v>57.978056375999998</v>
      </c>
      <c r="M46" s="77">
        <f t="shared" si="26"/>
        <v>-57.978056375999998</v>
      </c>
      <c r="N46" s="77">
        <v>1305.958821784121</v>
      </c>
      <c r="O46" s="77">
        <f>+O47</f>
        <v>75.81</v>
      </c>
      <c r="P46" s="77">
        <f t="shared" si="27"/>
        <v>1230.1488217841211</v>
      </c>
      <c r="Q46" s="77">
        <v>1395.4207168613434</v>
      </c>
      <c r="R46" s="77">
        <f>+R47</f>
        <v>99.1</v>
      </c>
      <c r="S46" s="77">
        <f t="shared" si="2"/>
        <v>1296.3207168613435</v>
      </c>
      <c r="T46" s="77">
        <v>713.61895503086873</v>
      </c>
      <c r="U46" s="77">
        <f>+U47</f>
        <v>21.8</v>
      </c>
      <c r="V46" s="77">
        <f t="shared" si="3"/>
        <v>691.81895503086878</v>
      </c>
      <c r="W46" s="77">
        <v>1081.6951320502053</v>
      </c>
      <c r="X46" s="77">
        <f>+X47</f>
        <v>81.2</v>
      </c>
      <c r="Y46" s="77">
        <f t="shared" si="4"/>
        <v>1000.4951320502053</v>
      </c>
      <c r="Z46" s="77">
        <v>1167.505275736037</v>
      </c>
      <c r="AA46" s="77">
        <f>+AA47</f>
        <v>123.3</v>
      </c>
      <c r="AB46" s="77">
        <f t="shared" si="5"/>
        <v>1044.205275736037</v>
      </c>
      <c r="AC46" s="77">
        <v>1356.6404705864206</v>
      </c>
      <c r="AD46" s="77">
        <v>166.8</v>
      </c>
      <c r="AE46" s="77">
        <v>1189.8404705864207</v>
      </c>
      <c r="AF46" s="77">
        <v>1191.6142517244962</v>
      </c>
      <c r="AG46" s="77">
        <v>39.076999999999998</v>
      </c>
      <c r="AH46" s="77">
        <v>1152.5372517244962</v>
      </c>
      <c r="AI46" s="77">
        <v>1624.3097746750516</v>
      </c>
      <c r="AJ46" s="77">
        <v>78.47</v>
      </c>
      <c r="AK46" s="77">
        <v>1545.8397746750516</v>
      </c>
      <c r="AL46" s="77">
        <v>2055.0434244698295</v>
      </c>
      <c r="AM46" s="77">
        <v>95.3</v>
      </c>
      <c r="AN46" s="77">
        <v>1959.7434244698295</v>
      </c>
      <c r="AO46" s="77">
        <v>1874.2996205076658</v>
      </c>
      <c r="AP46" s="77"/>
      <c r="AQ46" s="77">
        <v>1874.2996205076658</v>
      </c>
      <c r="AR46" s="77">
        <v>483.35607658766401</v>
      </c>
      <c r="AS46" s="77"/>
      <c r="AT46" s="77">
        <v>483.35607658766401</v>
      </c>
      <c r="AU46" s="77">
        <v>1363.9188057603305</v>
      </c>
      <c r="AV46" s="77"/>
      <c r="AW46" s="77">
        <v>1363.9188057603305</v>
      </c>
    </row>
    <row r="47" spans="1:49" ht="16">
      <c r="A47" s="85" t="s">
        <v>97</v>
      </c>
      <c r="B47" s="77">
        <v>-276.05</v>
      </c>
      <c r="C47" s="77">
        <v>43.5</v>
      </c>
      <c r="D47" s="77">
        <v>68.87</v>
      </c>
      <c r="E47" s="77">
        <v>342.7</v>
      </c>
      <c r="F47" s="77">
        <v>504.00180086803078</v>
      </c>
      <c r="G47" s="77">
        <v>147.42339143048966</v>
      </c>
      <c r="H47" s="77">
        <v>204.17444347817496</v>
      </c>
      <c r="I47" s="77">
        <f>26.859272449-2.3</f>
        <v>24.559272448999998</v>
      </c>
      <c r="J47" s="77">
        <f t="shared" si="25"/>
        <v>179.61517102917497</v>
      </c>
      <c r="K47" s="77">
        <f>+[12]SO_APU!$Q$83</f>
        <v>0</v>
      </c>
      <c r="L47" s="77">
        <f>53.478056376+4.5</f>
        <v>57.978056375999998</v>
      </c>
      <c r="M47" s="77">
        <f t="shared" si="26"/>
        <v>-57.978056375999998</v>
      </c>
      <c r="N47" s="77">
        <v>405.16865330180997</v>
      </c>
      <c r="O47" s="77">
        <v>75.81</v>
      </c>
      <c r="P47" s="77">
        <f t="shared" si="27"/>
        <v>329.35865330180997</v>
      </c>
      <c r="Q47" s="77">
        <v>364.40999260690995</v>
      </c>
      <c r="R47" s="77">
        <f>99.1</f>
        <v>99.1</v>
      </c>
      <c r="S47" s="77">
        <f t="shared" si="2"/>
        <v>265.30999260690999</v>
      </c>
      <c r="T47" s="77">
        <v>228.04494117417499</v>
      </c>
      <c r="U47" s="77">
        <v>21.8</v>
      </c>
      <c r="V47" s="77">
        <f t="shared" si="3"/>
        <v>206.24494117417498</v>
      </c>
      <c r="W47" s="77">
        <v>277.53402822672695</v>
      </c>
      <c r="X47" s="77">
        <v>81.2</v>
      </c>
      <c r="Y47" s="77">
        <f t="shared" si="4"/>
        <v>196.33402822672696</v>
      </c>
      <c r="Z47" s="77">
        <v>339.04698725226194</v>
      </c>
      <c r="AA47" s="77">
        <v>123.3</v>
      </c>
      <c r="AB47" s="77">
        <f t="shared" si="5"/>
        <v>215.74698725226193</v>
      </c>
      <c r="AC47" s="77">
        <v>583.95223994981393</v>
      </c>
      <c r="AD47" s="77">
        <v>166.8</v>
      </c>
      <c r="AE47" s="77">
        <v>417.15223994981392</v>
      </c>
      <c r="AF47" s="77">
        <v>359.44693663317491</v>
      </c>
      <c r="AG47" s="77">
        <v>39.076999999999998</v>
      </c>
      <c r="AH47" s="77">
        <v>320.36993663317492</v>
      </c>
      <c r="AI47" s="77">
        <v>494.82401783707502</v>
      </c>
      <c r="AJ47" s="77">
        <v>78.47</v>
      </c>
      <c r="AK47" s="77">
        <v>416.35401783707505</v>
      </c>
      <c r="AL47" s="77">
        <v>865.09530383407503</v>
      </c>
      <c r="AM47" s="77">
        <v>95.3</v>
      </c>
      <c r="AN47" s="77">
        <v>769.79530383407507</v>
      </c>
      <c r="AO47" s="77">
        <v>784.24650888777478</v>
      </c>
      <c r="AP47" s="77"/>
      <c r="AQ47" s="77">
        <v>784.24650888777478</v>
      </c>
      <c r="AR47" s="77">
        <v>485.3972066880001</v>
      </c>
      <c r="AS47" s="77"/>
      <c r="AT47" s="77">
        <v>485.3972066880001</v>
      </c>
      <c r="AU47" s="77">
        <v>453.48114998889997</v>
      </c>
      <c r="AV47" s="77"/>
      <c r="AW47" s="77">
        <v>453.48114998889997</v>
      </c>
    </row>
    <row r="48" spans="1:49" ht="16">
      <c r="A48" s="85" t="s">
        <v>108</v>
      </c>
      <c r="B48" s="77">
        <v>1093.43</v>
      </c>
      <c r="C48" s="77">
        <v>818.69</v>
      </c>
      <c r="D48" s="77">
        <v>158.77000000000001</v>
      </c>
      <c r="E48" s="77">
        <v>687.17</v>
      </c>
      <c r="F48" s="77">
        <v>855.04165716747195</v>
      </c>
      <c r="G48" s="77">
        <v>862.88920042300242</v>
      </c>
      <c r="H48" s="77">
        <v>250.07342001426403</v>
      </c>
      <c r="I48" s="77"/>
      <c r="J48" s="77">
        <f t="shared" si="25"/>
        <v>250.07342001426403</v>
      </c>
      <c r="K48" s="77">
        <f>+[12]SO_APU!$Q$100</f>
        <v>0</v>
      </c>
      <c r="L48" s="77"/>
      <c r="M48" s="77">
        <f t="shared" si="26"/>
        <v>0</v>
      </c>
      <c r="N48" s="77">
        <v>900.79016848231095</v>
      </c>
      <c r="O48" s="77"/>
      <c r="P48" s="77">
        <f t="shared" si="27"/>
        <v>900.79016848231095</v>
      </c>
      <c r="Q48" s="77">
        <v>1031.0107242544334</v>
      </c>
      <c r="R48" s="77"/>
      <c r="S48" s="77">
        <f t="shared" si="2"/>
        <v>1031.0107242544334</v>
      </c>
      <c r="T48" s="77">
        <v>485.5740138566938</v>
      </c>
      <c r="U48" s="77"/>
      <c r="V48" s="77">
        <f t="shared" si="3"/>
        <v>485.5740138566938</v>
      </c>
      <c r="W48" s="77">
        <v>804.16110382347847</v>
      </c>
      <c r="X48" s="77"/>
      <c r="Y48" s="77">
        <f t="shared" si="4"/>
        <v>804.16110382347847</v>
      </c>
      <c r="Z48" s="77">
        <v>828.45828848377516</v>
      </c>
      <c r="AA48" s="77"/>
      <c r="AB48" s="77">
        <f t="shared" si="5"/>
        <v>828.45828848377516</v>
      </c>
      <c r="AC48" s="77">
        <v>772.68823063660682</v>
      </c>
      <c r="AD48" s="77"/>
      <c r="AE48" s="77">
        <v>772.68823063660682</v>
      </c>
      <c r="AF48" s="77">
        <v>832.16731509132114</v>
      </c>
      <c r="AG48" s="77"/>
      <c r="AH48" s="77">
        <v>832.16731509132114</v>
      </c>
      <c r="AI48" s="77">
        <v>1129.4857568379766</v>
      </c>
      <c r="AJ48" s="77"/>
      <c r="AK48" s="77">
        <v>1129.4857568379766</v>
      </c>
      <c r="AL48" s="77">
        <v>1189.9481206357543</v>
      </c>
      <c r="AM48" s="77"/>
      <c r="AN48" s="77">
        <v>1189.9481206357543</v>
      </c>
      <c r="AO48" s="77">
        <v>1090.0531116198911</v>
      </c>
      <c r="AP48" s="77"/>
      <c r="AQ48" s="77">
        <v>1090.0531116198911</v>
      </c>
      <c r="AR48" s="77">
        <v>-2.0411301003360478</v>
      </c>
      <c r="AS48" s="77"/>
      <c r="AT48" s="77">
        <v>-2.0411301003360478</v>
      </c>
      <c r="AU48" s="77">
        <v>910.43765577143063</v>
      </c>
      <c r="AV48" s="77"/>
      <c r="AW48" s="77">
        <v>910.43765577143063</v>
      </c>
    </row>
    <row r="49" spans="1:49" ht="16">
      <c r="A49" s="82" t="s">
        <v>185</v>
      </c>
      <c r="B49" s="73">
        <v>928.18000000000006</v>
      </c>
      <c r="C49" s="73">
        <v>685.26</v>
      </c>
      <c r="D49" s="73">
        <v>253.54000000000002</v>
      </c>
      <c r="E49" s="73">
        <v>1382.6399999999999</v>
      </c>
      <c r="F49" s="73">
        <v>1404.4994127355003</v>
      </c>
      <c r="G49" s="73">
        <v>932.8225918534921</v>
      </c>
      <c r="H49" s="73"/>
      <c r="I49" s="73"/>
      <c r="J49" s="73">
        <f>+H49-I49</f>
        <v>0</v>
      </c>
      <c r="K49" s="73"/>
      <c r="L49" s="73"/>
      <c r="M49" s="73">
        <f>+K49-L49</f>
        <v>0</v>
      </c>
      <c r="N49" s="73"/>
      <c r="O49" s="73"/>
      <c r="P49" s="73">
        <f>+N49-O49</f>
        <v>0</v>
      </c>
      <c r="Q49" s="73"/>
      <c r="R49" s="73"/>
      <c r="S49" s="73">
        <f>+S46-S43</f>
        <v>1221.8511738033435</v>
      </c>
      <c r="T49" s="73">
        <v>723.40346660886871</v>
      </c>
      <c r="U49" s="73"/>
      <c r="V49" s="73">
        <f t="shared" si="3"/>
        <v>723.40346660886871</v>
      </c>
      <c r="W49" s="73">
        <v>1063.4037309872053</v>
      </c>
      <c r="X49" s="73"/>
      <c r="Y49" s="73">
        <f t="shared" si="4"/>
        <v>1063.4037309872053</v>
      </c>
      <c r="Z49" s="73">
        <v>905.29048426103691</v>
      </c>
      <c r="AA49" s="73">
        <f>+AA47</f>
        <v>123.3</v>
      </c>
      <c r="AB49" s="73">
        <f>+Z49-AA49</f>
        <v>781.99048426103695</v>
      </c>
      <c r="AC49" s="73">
        <v>1109.6763234974208</v>
      </c>
      <c r="AD49" s="73">
        <v>166.8</v>
      </c>
      <c r="AE49" s="73">
        <v>942.8763234974208</v>
      </c>
      <c r="AF49" s="73">
        <v>933.64091515849611</v>
      </c>
      <c r="AG49" s="73">
        <v>44.839999999999996</v>
      </c>
      <c r="AH49" s="73">
        <v>888.80091515849608</v>
      </c>
      <c r="AI49" s="73">
        <v>1283.5511540430516</v>
      </c>
      <c r="AJ49" s="73">
        <v>88.37</v>
      </c>
      <c r="AK49" s="73">
        <v>1195.1811540430517</v>
      </c>
      <c r="AL49" s="73">
        <v>1713.4949336298296</v>
      </c>
      <c r="AM49" s="73">
        <v>134.80000000000001</v>
      </c>
      <c r="AN49" s="73">
        <v>1578.6949336298296</v>
      </c>
      <c r="AO49" s="73"/>
      <c r="AP49" s="73"/>
      <c r="AQ49" s="73">
        <v>0</v>
      </c>
      <c r="AR49" s="73"/>
      <c r="AS49" s="73"/>
      <c r="AT49" s="73">
        <v>0</v>
      </c>
      <c r="AU49" s="73"/>
      <c r="AV49" s="73"/>
      <c r="AW49" s="73">
        <v>0</v>
      </c>
    </row>
    <row r="50" spans="1:49" ht="16">
      <c r="A50" s="86" t="s">
        <v>186</v>
      </c>
      <c r="B50" s="73">
        <v>293.29575007532083</v>
      </c>
      <c r="C50" s="73">
        <v>145.3399999999998</v>
      </c>
      <c r="D50" s="73">
        <v>-101.82999999999998</v>
      </c>
      <c r="E50" s="73">
        <v>304.29000000000042</v>
      </c>
      <c r="F50" s="73">
        <v>211.74195344362988</v>
      </c>
      <c r="G50" s="73">
        <v>178.89623665930412</v>
      </c>
      <c r="H50" s="73">
        <f>+SO_APU_1!D71</f>
        <v>-71.769887920000002</v>
      </c>
      <c r="I50" s="73"/>
      <c r="J50" s="73">
        <f>+H50-I50</f>
        <v>-71.769887920000002</v>
      </c>
      <c r="K50" s="73">
        <f>+[12]SO_APU!$Q$71</f>
        <v>0</v>
      </c>
      <c r="L50" s="73"/>
      <c r="M50" s="73">
        <f>+K50-L50</f>
        <v>0</v>
      </c>
      <c r="N50" s="73">
        <v>121.20904670876</v>
      </c>
      <c r="O50" s="73"/>
      <c r="P50" s="73">
        <f>+N50-O50</f>
        <v>121.20904670876</v>
      </c>
      <c r="Q50" s="73">
        <v>358.02369613171004</v>
      </c>
      <c r="R50" s="73"/>
      <c r="S50" s="73">
        <v>358.02369613171004</v>
      </c>
      <c r="T50" s="73">
        <v>-17.437026059999994</v>
      </c>
      <c r="U50" s="73"/>
      <c r="V50" s="73">
        <f t="shared" si="3"/>
        <v>-17.437026059999994</v>
      </c>
      <c r="W50" s="73">
        <v>292.03583869200003</v>
      </c>
      <c r="X50" s="73"/>
      <c r="Y50" s="73">
        <f t="shared" si="4"/>
        <v>292.03583869200003</v>
      </c>
      <c r="Z50" s="73">
        <v>-52.96800027999997</v>
      </c>
      <c r="AA50" s="73"/>
      <c r="AB50" s="73">
        <f t="shared" si="5"/>
        <v>-52.96800027999997</v>
      </c>
      <c r="AC50" s="73">
        <v>58.737420987000007</v>
      </c>
      <c r="AD50" s="73"/>
      <c r="AE50" s="73">
        <v>58.737420987000007</v>
      </c>
      <c r="AF50" s="73">
        <v>364.41594487400005</v>
      </c>
      <c r="AG50" s="73"/>
      <c r="AH50" s="73">
        <v>364.41594487400005</v>
      </c>
      <c r="AI50" s="73">
        <v>665.227366921</v>
      </c>
      <c r="AJ50" s="73"/>
      <c r="AK50" s="73">
        <v>665.227366921</v>
      </c>
      <c r="AL50" s="73">
        <v>775.41963135999993</v>
      </c>
      <c r="AM50" s="73"/>
      <c r="AN50" s="73">
        <v>775.41963135999993</v>
      </c>
      <c r="AO50" s="73">
        <v>607.44779768099988</v>
      </c>
      <c r="AP50" s="73"/>
      <c r="AQ50" s="73">
        <v>607.44779768099988</v>
      </c>
      <c r="AR50" s="73">
        <v>-68.936355926999994</v>
      </c>
      <c r="AS50" s="73"/>
      <c r="AT50" s="73">
        <v>-68.936355926999994</v>
      </c>
      <c r="AU50" s="73">
        <v>542.48634146199993</v>
      </c>
      <c r="AV50" s="73"/>
      <c r="AW50" s="73">
        <v>542.48634146199993</v>
      </c>
    </row>
    <row r="51" spans="1:49">
      <c r="D51" s="80"/>
    </row>
    <row r="52" spans="1:49"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J52" s="68"/>
      <c r="AW52" s="68"/>
    </row>
    <row r="53" spans="1:49">
      <c r="D53" s="87"/>
      <c r="H53" s="68">
        <f>+H28-H40+H46-H43-H50</f>
        <v>-11.833453600736235</v>
      </c>
      <c r="I53" s="68">
        <f>+I28-I40+I46-I43-I50</f>
        <v>-11.821933938000001</v>
      </c>
      <c r="J53" s="68">
        <f>+J28-J40+J46-J43-J50</f>
        <v>-1.1519662736318992E-2</v>
      </c>
      <c r="K53" s="68">
        <f>+K28-K40+K46-K43-K50</f>
        <v>1278.8523024836895</v>
      </c>
      <c r="L53" s="68">
        <f t="shared" ref="L53:M53" si="28">+L28-L40+L46-L43-L50</f>
        <v>1.7766091999988021E-2</v>
      </c>
      <c r="M53" s="68">
        <f t="shared" si="28"/>
        <v>1278.8345363916899</v>
      </c>
      <c r="N53" s="68">
        <f>+N28-N40+N46-N43-N50</f>
        <v>-0.78131188541220808</v>
      </c>
      <c r="O53" s="68">
        <f t="shared" ref="O53:P53" si="29">+O28-O40+O46-O43-O50</f>
        <v>-0.75000000000005684</v>
      </c>
      <c r="P53" s="68">
        <f t="shared" si="29"/>
        <v>-3.1311885412321772E-2</v>
      </c>
      <c r="Q53" s="68"/>
      <c r="R53" s="68"/>
      <c r="S53" s="68">
        <f>+S49+S40</f>
        <v>356.71590194900784</v>
      </c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K53" s="68"/>
      <c r="AU53" s="68"/>
      <c r="AW53" s="68"/>
    </row>
    <row r="54" spans="1:49">
      <c r="S54" s="68">
        <f>+S50-S53</f>
        <v>1.3077941827021959</v>
      </c>
      <c r="T54" s="68"/>
      <c r="U54" s="68"/>
      <c r="V54" s="68"/>
      <c r="W54" s="68"/>
      <c r="X54" s="68">
        <v>81.2</v>
      </c>
      <c r="Y54" s="68"/>
      <c r="Z54" s="68"/>
      <c r="AA54" s="68"/>
      <c r="AB54" s="68"/>
      <c r="AC54" s="68"/>
      <c r="AD54" s="68"/>
      <c r="AE54" s="68"/>
      <c r="AG54" s="68"/>
      <c r="AJ54" s="68"/>
      <c r="AL54" s="68">
        <f t="shared" ref="AL54" si="30">+AL41-AL43+AL46</f>
        <v>777.00916948029771</v>
      </c>
      <c r="AM54" s="68">
        <f>+AM41-AM43+AM46</f>
        <v>-0.4100000000000108</v>
      </c>
      <c r="AN54" s="68">
        <f>+AN41-AN43+AN46</f>
        <v>777.4191694802978</v>
      </c>
    </row>
    <row r="55" spans="1:49">
      <c r="AA55" s="68"/>
      <c r="AN55" s="68"/>
    </row>
    <row r="56" spans="1:49"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</sheetData>
  <mergeCells count="1">
    <mergeCell ref="A2:E2"/>
  </mergeCells>
  <pageMargins left="0.70866141732283472" right="0.70866141732283472" top="0.15748031496062992" bottom="0.35433070866141736" header="0.31496062992125984" footer="0.31496062992125984"/>
  <pageSetup paperSize="9" scale="7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GK62"/>
  <sheetViews>
    <sheetView tabSelected="1" zoomScale="94" zoomScaleNormal="80" workbookViewId="0">
      <pane xSplit="4" ySplit="9" topLeftCell="FV10" activePane="bottomRight" state="frozen"/>
      <selection pane="topRight" activeCell="E1" sqref="E1"/>
      <selection pane="bottomLeft" activeCell="A10" sqref="A10"/>
      <selection pane="bottomRight" activeCell="GA1" sqref="GA1:GB1048576"/>
    </sheetView>
  </sheetViews>
  <sheetFormatPr baseColWidth="10" defaultColWidth="9.1640625" defaultRowHeight="14"/>
  <cols>
    <col min="1" max="1" width="24.1640625" style="91" customWidth="1"/>
    <col min="2" max="2" width="13.33203125" style="91" customWidth="1"/>
    <col min="3" max="3" width="42.1640625" style="91" customWidth="1"/>
    <col min="4" max="4" width="9.6640625" style="91" customWidth="1"/>
    <col min="5" max="5" width="12.5" style="90" customWidth="1"/>
    <col min="6" max="158" width="9.1640625" style="91" customWidth="1"/>
    <col min="159" max="159" width="13" style="91" customWidth="1"/>
    <col min="160" max="160" width="9.1640625" style="91" customWidth="1"/>
    <col min="161" max="161" width="9.5" style="92" customWidth="1"/>
    <col min="162" max="162" width="9.5" style="91" customWidth="1"/>
    <col min="163" max="163" width="9.1640625" style="91" customWidth="1"/>
    <col min="164" max="164" width="11.83203125" style="91" customWidth="1"/>
    <col min="165" max="165" width="9.1640625" style="91" customWidth="1"/>
    <col min="166" max="166" width="10.1640625" style="91" customWidth="1"/>
    <col min="167" max="167" width="10.6640625" style="91" customWidth="1"/>
    <col min="168" max="168" width="10.1640625" style="91" bestFit="1" customWidth="1"/>
    <col min="169" max="169" width="9.1640625" style="91"/>
    <col min="170" max="174" width="9.1640625" style="91" customWidth="1"/>
    <col min="175" max="175" width="10.1640625" style="91" bestFit="1" customWidth="1"/>
    <col min="176" max="176" width="9.1640625" style="91" customWidth="1"/>
    <col min="177" max="177" width="12.6640625" style="91" bestFit="1" customWidth="1"/>
    <col min="178" max="182" width="9.1640625" style="91" customWidth="1"/>
    <col min="183" max="188" width="9.1640625" style="91" hidden="1" customWidth="1"/>
    <col min="189" max="189" width="11.6640625" style="91" hidden="1" customWidth="1"/>
    <col min="190" max="193" width="11.83203125" style="91" hidden="1" customWidth="1"/>
    <col min="194" max="257" width="9.1640625" style="91"/>
    <col min="258" max="258" width="17" style="91" customWidth="1"/>
    <col min="259" max="259" width="10.5" style="91" customWidth="1"/>
    <col min="260" max="260" width="44" style="91" customWidth="1"/>
    <col min="261" max="261" width="9.1640625" style="91" customWidth="1"/>
    <col min="262" max="513" width="9.1640625" style="91"/>
    <col min="514" max="514" width="17" style="91" customWidth="1"/>
    <col min="515" max="515" width="10.5" style="91" customWidth="1"/>
    <col min="516" max="516" width="44" style="91" customWidth="1"/>
    <col min="517" max="517" width="9.1640625" style="91" customWidth="1"/>
    <col min="518" max="769" width="9.1640625" style="91"/>
    <col min="770" max="770" width="17" style="91" customWidth="1"/>
    <col min="771" max="771" width="10.5" style="91" customWidth="1"/>
    <col min="772" max="772" width="44" style="91" customWidth="1"/>
    <col min="773" max="773" width="9.1640625" style="91" customWidth="1"/>
    <col min="774" max="1025" width="9.1640625" style="91"/>
    <col min="1026" max="1026" width="17" style="91" customWidth="1"/>
    <col min="1027" max="1027" width="10.5" style="91" customWidth="1"/>
    <col min="1028" max="1028" width="44" style="91" customWidth="1"/>
    <col min="1029" max="1029" width="9.1640625" style="91" customWidth="1"/>
    <col min="1030" max="1281" width="9.1640625" style="91"/>
    <col min="1282" max="1282" width="17" style="91" customWidth="1"/>
    <col min="1283" max="1283" width="10.5" style="91" customWidth="1"/>
    <col min="1284" max="1284" width="44" style="91" customWidth="1"/>
    <col min="1285" max="1285" width="9.1640625" style="91" customWidth="1"/>
    <col min="1286" max="1537" width="9.1640625" style="91"/>
    <col min="1538" max="1538" width="17" style="91" customWidth="1"/>
    <col min="1539" max="1539" width="10.5" style="91" customWidth="1"/>
    <col min="1540" max="1540" width="44" style="91" customWidth="1"/>
    <col min="1541" max="1541" width="9.1640625" style="91" customWidth="1"/>
    <col min="1542" max="1793" width="9.1640625" style="91"/>
    <col min="1794" max="1794" width="17" style="91" customWidth="1"/>
    <col min="1795" max="1795" width="10.5" style="91" customWidth="1"/>
    <col min="1796" max="1796" width="44" style="91" customWidth="1"/>
    <col min="1797" max="1797" width="9.1640625" style="91" customWidth="1"/>
    <col min="1798" max="2049" width="9.1640625" style="91"/>
    <col min="2050" max="2050" width="17" style="91" customWidth="1"/>
    <col min="2051" max="2051" width="10.5" style="91" customWidth="1"/>
    <col min="2052" max="2052" width="44" style="91" customWidth="1"/>
    <col min="2053" max="2053" width="9.1640625" style="91" customWidth="1"/>
    <col min="2054" max="2305" width="9.1640625" style="91"/>
    <col min="2306" max="2306" width="17" style="91" customWidth="1"/>
    <col min="2307" max="2307" width="10.5" style="91" customWidth="1"/>
    <col min="2308" max="2308" width="44" style="91" customWidth="1"/>
    <col min="2309" max="2309" width="9.1640625" style="91" customWidth="1"/>
    <col min="2310" max="2561" width="9.1640625" style="91"/>
    <col min="2562" max="2562" width="17" style="91" customWidth="1"/>
    <col min="2563" max="2563" width="10.5" style="91" customWidth="1"/>
    <col min="2564" max="2564" width="44" style="91" customWidth="1"/>
    <col min="2565" max="2565" width="9.1640625" style="91" customWidth="1"/>
    <col min="2566" max="2817" width="9.1640625" style="91"/>
    <col min="2818" max="2818" width="17" style="91" customWidth="1"/>
    <col min="2819" max="2819" width="10.5" style="91" customWidth="1"/>
    <col min="2820" max="2820" width="44" style="91" customWidth="1"/>
    <col min="2821" max="2821" width="9.1640625" style="91" customWidth="1"/>
    <col min="2822" max="3073" width="9.1640625" style="91"/>
    <col min="3074" max="3074" width="17" style="91" customWidth="1"/>
    <col min="3075" max="3075" width="10.5" style="91" customWidth="1"/>
    <col min="3076" max="3076" width="44" style="91" customWidth="1"/>
    <col min="3077" max="3077" width="9.1640625" style="91" customWidth="1"/>
    <col min="3078" max="3329" width="9.1640625" style="91"/>
    <col min="3330" max="3330" width="17" style="91" customWidth="1"/>
    <col min="3331" max="3331" width="10.5" style="91" customWidth="1"/>
    <col min="3332" max="3332" width="44" style="91" customWidth="1"/>
    <col min="3333" max="3333" width="9.1640625" style="91" customWidth="1"/>
    <col min="3334" max="3585" width="9.1640625" style="91"/>
    <col min="3586" max="3586" width="17" style="91" customWidth="1"/>
    <col min="3587" max="3587" width="10.5" style="91" customWidth="1"/>
    <col min="3588" max="3588" width="44" style="91" customWidth="1"/>
    <col min="3589" max="3589" width="9.1640625" style="91" customWidth="1"/>
    <col min="3590" max="3841" width="9.1640625" style="91"/>
    <col min="3842" max="3842" width="17" style="91" customWidth="1"/>
    <col min="3843" max="3843" width="10.5" style="91" customWidth="1"/>
    <col min="3844" max="3844" width="44" style="91" customWidth="1"/>
    <col min="3845" max="3845" width="9.1640625" style="91" customWidth="1"/>
    <col min="3846" max="4097" width="9.1640625" style="91"/>
    <col min="4098" max="4098" width="17" style="91" customWidth="1"/>
    <col min="4099" max="4099" width="10.5" style="91" customWidth="1"/>
    <col min="4100" max="4100" width="44" style="91" customWidth="1"/>
    <col min="4101" max="4101" width="9.1640625" style="91" customWidth="1"/>
    <col min="4102" max="4353" width="9.1640625" style="91"/>
    <col min="4354" max="4354" width="17" style="91" customWidth="1"/>
    <col min="4355" max="4355" width="10.5" style="91" customWidth="1"/>
    <col min="4356" max="4356" width="44" style="91" customWidth="1"/>
    <col min="4357" max="4357" width="9.1640625" style="91" customWidth="1"/>
    <col min="4358" max="4609" width="9.1640625" style="91"/>
    <col min="4610" max="4610" width="17" style="91" customWidth="1"/>
    <col min="4611" max="4611" width="10.5" style="91" customWidth="1"/>
    <col min="4612" max="4612" width="44" style="91" customWidth="1"/>
    <col min="4613" max="4613" width="9.1640625" style="91" customWidth="1"/>
    <col min="4614" max="4865" width="9.1640625" style="91"/>
    <col min="4866" max="4866" width="17" style="91" customWidth="1"/>
    <col min="4867" max="4867" width="10.5" style="91" customWidth="1"/>
    <col min="4868" max="4868" width="44" style="91" customWidth="1"/>
    <col min="4869" max="4869" width="9.1640625" style="91" customWidth="1"/>
    <col min="4870" max="5121" width="9.1640625" style="91"/>
    <col min="5122" max="5122" width="17" style="91" customWidth="1"/>
    <col min="5123" max="5123" width="10.5" style="91" customWidth="1"/>
    <col min="5124" max="5124" width="44" style="91" customWidth="1"/>
    <col min="5125" max="5125" width="9.1640625" style="91" customWidth="1"/>
    <col min="5126" max="5377" width="9.1640625" style="91"/>
    <col min="5378" max="5378" width="17" style="91" customWidth="1"/>
    <col min="5379" max="5379" width="10.5" style="91" customWidth="1"/>
    <col min="5380" max="5380" width="44" style="91" customWidth="1"/>
    <col min="5381" max="5381" width="9.1640625" style="91" customWidth="1"/>
    <col min="5382" max="5633" width="9.1640625" style="91"/>
    <col min="5634" max="5634" width="17" style="91" customWidth="1"/>
    <col min="5635" max="5635" width="10.5" style="91" customWidth="1"/>
    <col min="5636" max="5636" width="44" style="91" customWidth="1"/>
    <col min="5637" max="5637" width="9.1640625" style="91" customWidth="1"/>
    <col min="5638" max="5889" width="9.1640625" style="91"/>
    <col min="5890" max="5890" width="17" style="91" customWidth="1"/>
    <col min="5891" max="5891" width="10.5" style="91" customWidth="1"/>
    <col min="5892" max="5892" width="44" style="91" customWidth="1"/>
    <col min="5893" max="5893" width="9.1640625" style="91" customWidth="1"/>
    <col min="5894" max="6145" width="9.1640625" style="91"/>
    <col min="6146" max="6146" width="17" style="91" customWidth="1"/>
    <col min="6147" max="6147" width="10.5" style="91" customWidth="1"/>
    <col min="6148" max="6148" width="44" style="91" customWidth="1"/>
    <col min="6149" max="6149" width="9.1640625" style="91" customWidth="1"/>
    <col min="6150" max="6401" width="9.1640625" style="91"/>
    <col min="6402" max="6402" width="17" style="91" customWidth="1"/>
    <col min="6403" max="6403" width="10.5" style="91" customWidth="1"/>
    <col min="6404" max="6404" width="44" style="91" customWidth="1"/>
    <col min="6405" max="6405" width="9.1640625" style="91" customWidth="1"/>
    <col min="6406" max="6657" width="9.1640625" style="91"/>
    <col min="6658" max="6658" width="17" style="91" customWidth="1"/>
    <col min="6659" max="6659" width="10.5" style="91" customWidth="1"/>
    <col min="6660" max="6660" width="44" style="91" customWidth="1"/>
    <col min="6661" max="6661" width="9.1640625" style="91" customWidth="1"/>
    <col min="6662" max="6913" width="9.1640625" style="91"/>
    <col min="6914" max="6914" width="17" style="91" customWidth="1"/>
    <col min="6915" max="6915" width="10.5" style="91" customWidth="1"/>
    <col min="6916" max="6916" width="44" style="91" customWidth="1"/>
    <col min="6917" max="6917" width="9.1640625" style="91" customWidth="1"/>
    <col min="6918" max="7169" width="9.1640625" style="91"/>
    <col min="7170" max="7170" width="17" style="91" customWidth="1"/>
    <col min="7171" max="7171" width="10.5" style="91" customWidth="1"/>
    <col min="7172" max="7172" width="44" style="91" customWidth="1"/>
    <col min="7173" max="7173" width="9.1640625" style="91" customWidth="1"/>
    <col min="7174" max="7425" width="9.1640625" style="91"/>
    <col min="7426" max="7426" width="17" style="91" customWidth="1"/>
    <col min="7427" max="7427" width="10.5" style="91" customWidth="1"/>
    <col min="7428" max="7428" width="44" style="91" customWidth="1"/>
    <col min="7429" max="7429" width="9.1640625" style="91" customWidth="1"/>
    <col min="7430" max="7681" width="9.1640625" style="91"/>
    <col min="7682" max="7682" width="17" style="91" customWidth="1"/>
    <col min="7683" max="7683" width="10.5" style="91" customWidth="1"/>
    <col min="7684" max="7684" width="44" style="91" customWidth="1"/>
    <col min="7685" max="7685" width="9.1640625" style="91" customWidth="1"/>
    <col min="7686" max="7937" width="9.1640625" style="91"/>
    <col min="7938" max="7938" width="17" style="91" customWidth="1"/>
    <col min="7939" max="7939" width="10.5" style="91" customWidth="1"/>
    <col min="7940" max="7940" width="44" style="91" customWidth="1"/>
    <col min="7941" max="7941" width="9.1640625" style="91" customWidth="1"/>
    <col min="7942" max="8193" width="9.1640625" style="91"/>
    <col min="8194" max="8194" width="17" style="91" customWidth="1"/>
    <col min="8195" max="8195" width="10.5" style="91" customWidth="1"/>
    <col min="8196" max="8196" width="44" style="91" customWidth="1"/>
    <col min="8197" max="8197" width="9.1640625" style="91" customWidth="1"/>
    <col min="8198" max="8449" width="9.1640625" style="91"/>
    <col min="8450" max="8450" width="17" style="91" customWidth="1"/>
    <col min="8451" max="8451" width="10.5" style="91" customWidth="1"/>
    <col min="8452" max="8452" width="44" style="91" customWidth="1"/>
    <col min="8453" max="8453" width="9.1640625" style="91" customWidth="1"/>
    <col min="8454" max="8705" width="9.1640625" style="91"/>
    <col min="8706" max="8706" width="17" style="91" customWidth="1"/>
    <col min="8707" max="8707" width="10.5" style="91" customWidth="1"/>
    <col min="8708" max="8708" width="44" style="91" customWidth="1"/>
    <col min="8709" max="8709" width="9.1640625" style="91" customWidth="1"/>
    <col min="8710" max="8961" width="9.1640625" style="91"/>
    <col min="8962" max="8962" width="17" style="91" customWidth="1"/>
    <col min="8963" max="8963" width="10.5" style="91" customWidth="1"/>
    <col min="8964" max="8964" width="44" style="91" customWidth="1"/>
    <col min="8965" max="8965" width="9.1640625" style="91" customWidth="1"/>
    <col min="8966" max="9217" width="9.1640625" style="91"/>
    <col min="9218" max="9218" width="17" style="91" customWidth="1"/>
    <col min="9219" max="9219" width="10.5" style="91" customWidth="1"/>
    <col min="9220" max="9220" width="44" style="91" customWidth="1"/>
    <col min="9221" max="9221" width="9.1640625" style="91" customWidth="1"/>
    <col min="9222" max="9473" width="9.1640625" style="91"/>
    <col min="9474" max="9474" width="17" style="91" customWidth="1"/>
    <col min="9475" max="9475" width="10.5" style="91" customWidth="1"/>
    <col min="9476" max="9476" width="44" style="91" customWidth="1"/>
    <col min="9477" max="9477" width="9.1640625" style="91" customWidth="1"/>
    <col min="9478" max="9729" width="9.1640625" style="91"/>
    <col min="9730" max="9730" width="17" style="91" customWidth="1"/>
    <col min="9731" max="9731" width="10.5" style="91" customWidth="1"/>
    <col min="9732" max="9732" width="44" style="91" customWidth="1"/>
    <col min="9733" max="9733" width="9.1640625" style="91" customWidth="1"/>
    <col min="9734" max="9985" width="9.1640625" style="91"/>
    <col min="9986" max="9986" width="17" style="91" customWidth="1"/>
    <col min="9987" max="9987" width="10.5" style="91" customWidth="1"/>
    <col min="9988" max="9988" width="44" style="91" customWidth="1"/>
    <col min="9989" max="9989" width="9.1640625" style="91" customWidth="1"/>
    <col min="9990" max="10241" width="9.1640625" style="91"/>
    <col min="10242" max="10242" width="17" style="91" customWidth="1"/>
    <col min="10243" max="10243" width="10.5" style="91" customWidth="1"/>
    <col min="10244" max="10244" width="44" style="91" customWidth="1"/>
    <col min="10245" max="10245" width="9.1640625" style="91" customWidth="1"/>
    <col min="10246" max="10497" width="9.1640625" style="91"/>
    <col min="10498" max="10498" width="17" style="91" customWidth="1"/>
    <col min="10499" max="10499" width="10.5" style="91" customWidth="1"/>
    <col min="10500" max="10500" width="44" style="91" customWidth="1"/>
    <col min="10501" max="10501" width="9.1640625" style="91" customWidth="1"/>
    <col min="10502" max="10753" width="9.1640625" style="91"/>
    <col min="10754" max="10754" width="17" style="91" customWidth="1"/>
    <col min="10755" max="10755" width="10.5" style="91" customWidth="1"/>
    <col min="10756" max="10756" width="44" style="91" customWidth="1"/>
    <col min="10757" max="10757" width="9.1640625" style="91" customWidth="1"/>
    <col min="10758" max="11009" width="9.1640625" style="91"/>
    <col min="11010" max="11010" width="17" style="91" customWidth="1"/>
    <col min="11011" max="11011" width="10.5" style="91" customWidth="1"/>
    <col min="11012" max="11012" width="44" style="91" customWidth="1"/>
    <col min="11013" max="11013" width="9.1640625" style="91" customWidth="1"/>
    <col min="11014" max="11265" width="9.1640625" style="91"/>
    <col min="11266" max="11266" width="17" style="91" customWidth="1"/>
    <col min="11267" max="11267" width="10.5" style="91" customWidth="1"/>
    <col min="11268" max="11268" width="44" style="91" customWidth="1"/>
    <col min="11269" max="11269" width="9.1640625" style="91" customWidth="1"/>
    <col min="11270" max="11521" width="9.1640625" style="91"/>
    <col min="11522" max="11522" width="17" style="91" customWidth="1"/>
    <col min="11523" max="11523" width="10.5" style="91" customWidth="1"/>
    <col min="11524" max="11524" width="44" style="91" customWidth="1"/>
    <col min="11525" max="11525" width="9.1640625" style="91" customWidth="1"/>
    <col min="11526" max="11777" width="9.1640625" style="91"/>
    <col min="11778" max="11778" width="17" style="91" customWidth="1"/>
    <col min="11779" max="11779" width="10.5" style="91" customWidth="1"/>
    <col min="11780" max="11780" width="44" style="91" customWidth="1"/>
    <col min="11781" max="11781" width="9.1640625" style="91" customWidth="1"/>
    <col min="11782" max="12033" width="9.1640625" style="91"/>
    <col min="12034" max="12034" width="17" style="91" customWidth="1"/>
    <col min="12035" max="12035" width="10.5" style="91" customWidth="1"/>
    <col min="12036" max="12036" width="44" style="91" customWidth="1"/>
    <col min="12037" max="12037" width="9.1640625" style="91" customWidth="1"/>
    <col min="12038" max="12289" width="9.1640625" style="91"/>
    <col min="12290" max="12290" width="17" style="91" customWidth="1"/>
    <col min="12291" max="12291" width="10.5" style="91" customWidth="1"/>
    <col min="12292" max="12292" width="44" style="91" customWidth="1"/>
    <col min="12293" max="12293" width="9.1640625" style="91" customWidth="1"/>
    <col min="12294" max="12545" width="9.1640625" style="91"/>
    <col min="12546" max="12546" width="17" style="91" customWidth="1"/>
    <col min="12547" max="12547" width="10.5" style="91" customWidth="1"/>
    <col min="12548" max="12548" width="44" style="91" customWidth="1"/>
    <col min="12549" max="12549" width="9.1640625" style="91" customWidth="1"/>
    <col min="12550" max="12801" width="9.1640625" style="91"/>
    <col min="12802" max="12802" width="17" style="91" customWidth="1"/>
    <col min="12803" max="12803" width="10.5" style="91" customWidth="1"/>
    <col min="12804" max="12804" width="44" style="91" customWidth="1"/>
    <col min="12805" max="12805" width="9.1640625" style="91" customWidth="1"/>
    <col min="12806" max="13057" width="9.1640625" style="91"/>
    <col min="13058" max="13058" width="17" style="91" customWidth="1"/>
    <col min="13059" max="13059" width="10.5" style="91" customWidth="1"/>
    <col min="13060" max="13060" width="44" style="91" customWidth="1"/>
    <col min="13061" max="13061" width="9.1640625" style="91" customWidth="1"/>
    <col min="13062" max="13313" width="9.1640625" style="91"/>
    <col min="13314" max="13314" width="17" style="91" customWidth="1"/>
    <col min="13315" max="13315" width="10.5" style="91" customWidth="1"/>
    <col min="13316" max="13316" width="44" style="91" customWidth="1"/>
    <col min="13317" max="13317" width="9.1640625" style="91" customWidth="1"/>
    <col min="13318" max="13569" width="9.1640625" style="91"/>
    <col min="13570" max="13570" width="17" style="91" customWidth="1"/>
    <col min="13571" max="13571" width="10.5" style="91" customWidth="1"/>
    <col min="13572" max="13572" width="44" style="91" customWidth="1"/>
    <col min="13573" max="13573" width="9.1640625" style="91" customWidth="1"/>
    <col min="13574" max="13825" width="9.1640625" style="91"/>
    <col min="13826" max="13826" width="17" style="91" customWidth="1"/>
    <col min="13827" max="13827" width="10.5" style="91" customWidth="1"/>
    <col min="13828" max="13828" width="44" style="91" customWidth="1"/>
    <col min="13829" max="13829" width="9.1640625" style="91" customWidth="1"/>
    <col min="13830" max="14081" width="9.1640625" style="91"/>
    <col min="14082" max="14082" width="17" style="91" customWidth="1"/>
    <col min="14083" max="14083" width="10.5" style="91" customWidth="1"/>
    <col min="14084" max="14084" width="44" style="91" customWidth="1"/>
    <col min="14085" max="14085" width="9.1640625" style="91" customWidth="1"/>
    <col min="14086" max="14337" width="9.1640625" style="91"/>
    <col min="14338" max="14338" width="17" style="91" customWidth="1"/>
    <col min="14339" max="14339" width="10.5" style="91" customWidth="1"/>
    <col min="14340" max="14340" width="44" style="91" customWidth="1"/>
    <col min="14341" max="14341" width="9.1640625" style="91" customWidth="1"/>
    <col min="14342" max="14593" width="9.1640625" style="91"/>
    <col min="14594" max="14594" width="17" style="91" customWidth="1"/>
    <col min="14595" max="14595" width="10.5" style="91" customWidth="1"/>
    <col min="14596" max="14596" width="44" style="91" customWidth="1"/>
    <col min="14597" max="14597" width="9.1640625" style="91" customWidth="1"/>
    <col min="14598" max="14849" width="9.1640625" style="91"/>
    <col min="14850" max="14850" width="17" style="91" customWidth="1"/>
    <col min="14851" max="14851" width="10.5" style="91" customWidth="1"/>
    <col min="14852" max="14852" width="44" style="91" customWidth="1"/>
    <col min="14853" max="14853" width="9.1640625" style="91" customWidth="1"/>
    <col min="14854" max="15105" width="9.1640625" style="91"/>
    <col min="15106" max="15106" width="17" style="91" customWidth="1"/>
    <col min="15107" max="15107" width="10.5" style="91" customWidth="1"/>
    <col min="15108" max="15108" width="44" style="91" customWidth="1"/>
    <col min="15109" max="15109" width="9.1640625" style="91" customWidth="1"/>
    <col min="15110" max="15361" width="9.1640625" style="91"/>
    <col min="15362" max="15362" width="17" style="91" customWidth="1"/>
    <col min="15363" max="15363" width="10.5" style="91" customWidth="1"/>
    <col min="15364" max="15364" width="44" style="91" customWidth="1"/>
    <col min="15365" max="15365" width="9.1640625" style="91" customWidth="1"/>
    <col min="15366" max="15617" width="9.1640625" style="91"/>
    <col min="15618" max="15618" width="17" style="91" customWidth="1"/>
    <col min="15619" max="15619" width="10.5" style="91" customWidth="1"/>
    <col min="15620" max="15620" width="44" style="91" customWidth="1"/>
    <col min="15621" max="15621" width="9.1640625" style="91" customWidth="1"/>
    <col min="15622" max="15873" width="9.1640625" style="91"/>
    <col min="15874" max="15874" width="17" style="91" customWidth="1"/>
    <col min="15875" max="15875" width="10.5" style="91" customWidth="1"/>
    <col min="15876" max="15876" width="44" style="91" customWidth="1"/>
    <col min="15877" max="15877" width="9.1640625" style="91" customWidth="1"/>
    <col min="15878" max="16129" width="9.1640625" style="91"/>
    <col min="16130" max="16130" width="17" style="91" customWidth="1"/>
    <col min="16131" max="16131" width="10.5" style="91" customWidth="1"/>
    <col min="16132" max="16132" width="44" style="91" customWidth="1"/>
    <col min="16133" max="16133" width="9.1640625" style="91" customWidth="1"/>
    <col min="16134" max="16384" width="9.1640625" style="91"/>
  </cols>
  <sheetData>
    <row r="1" spans="1:193" ht="21">
      <c r="A1" s="88" t="s">
        <v>187</v>
      </c>
      <c r="B1" s="88" t="s">
        <v>188</v>
      </c>
      <c r="C1" s="89"/>
      <c r="D1" s="89"/>
    </row>
    <row r="2" spans="1:193" ht="45" customHeight="1">
      <c r="A2" s="521" t="s">
        <v>189</v>
      </c>
      <c r="B2" s="521"/>
      <c r="C2" s="521"/>
      <c r="D2" s="93"/>
      <c r="EC2" s="91">
        <v>2063.65</v>
      </c>
      <c r="ED2" s="91">
        <v>2043.5</v>
      </c>
      <c r="EE2" s="91">
        <v>2162.58</v>
      </c>
      <c r="EF2" s="91">
        <v>2277.5300000000002</v>
      </c>
      <c r="FF2" s="91" t="s">
        <v>190</v>
      </c>
    </row>
    <row r="3" spans="1:193" ht="22.5" customHeight="1">
      <c r="A3" s="94" t="s">
        <v>191</v>
      </c>
      <c r="B3" s="93"/>
      <c r="C3" s="93"/>
      <c r="D3" s="93"/>
      <c r="EC3" s="91">
        <v>656.000638149</v>
      </c>
      <c r="ED3" s="91">
        <v>689.47632492799994</v>
      </c>
      <c r="EE3" s="91">
        <v>718.45553743323592</v>
      </c>
      <c r="EF3" s="91">
        <v>798.52933382697836</v>
      </c>
      <c r="FC3" s="91" t="s">
        <v>192</v>
      </c>
      <c r="FJ3" s="91" t="s">
        <v>193</v>
      </c>
      <c r="FT3" s="95">
        <f>+FT12-FP12</f>
        <v>1485.7599999999984</v>
      </c>
    </row>
    <row r="4" spans="1:193" ht="16.5" customHeight="1">
      <c r="A4" s="94" t="s">
        <v>194</v>
      </c>
      <c r="B4" s="93"/>
      <c r="C4" s="93"/>
      <c r="D4" s="93"/>
      <c r="FD4" s="95"/>
      <c r="FV4" s="95">
        <f>+FT31-FT39</f>
        <v>866.00000000000023</v>
      </c>
    </row>
    <row r="5" spans="1:193" ht="21.75" customHeight="1">
      <c r="A5" s="94"/>
      <c r="B5" s="93"/>
      <c r="C5" s="96" t="s">
        <v>195</v>
      </c>
      <c r="D5" s="90"/>
      <c r="FT5" s="95">
        <f>+FT30-FT12</f>
        <v>0</v>
      </c>
    </row>
    <row r="6" spans="1:193" ht="22.5" customHeight="1" thickBot="1">
      <c r="A6" s="89"/>
      <c r="B6" s="89"/>
      <c r="D6" s="90"/>
    </row>
    <row r="7" spans="1:193" s="102" customFormat="1" ht="13.5" customHeight="1">
      <c r="A7" s="97"/>
      <c r="B7" s="97"/>
      <c r="C7" s="98"/>
      <c r="D7" s="98"/>
      <c r="E7" s="99"/>
      <c r="F7" s="100"/>
      <c r="G7" s="100"/>
      <c r="H7" s="101"/>
      <c r="I7" s="99"/>
      <c r="J7" s="100"/>
      <c r="K7" s="100"/>
      <c r="L7" s="101"/>
      <c r="M7" s="99"/>
      <c r="N7" s="100"/>
      <c r="O7" s="100"/>
      <c r="P7" s="101"/>
      <c r="Q7" s="99"/>
      <c r="R7" s="100"/>
      <c r="S7" s="100"/>
      <c r="T7" s="101"/>
      <c r="U7" s="99"/>
      <c r="V7" s="100"/>
      <c r="W7" s="100"/>
      <c r="X7" s="101"/>
      <c r="Y7" s="99"/>
      <c r="Z7" s="100"/>
      <c r="AA7" s="100"/>
      <c r="AB7" s="101"/>
      <c r="AC7" s="99"/>
      <c r="AD7" s="100"/>
      <c r="AE7" s="100"/>
      <c r="AF7" s="101"/>
      <c r="AG7" s="99"/>
      <c r="AH7" s="100"/>
      <c r="AI7" s="100"/>
      <c r="AJ7" s="101"/>
      <c r="AK7" s="99"/>
      <c r="AL7" s="100"/>
      <c r="AM7" s="100"/>
      <c r="AN7" s="101"/>
      <c r="AO7" s="99"/>
      <c r="AP7" s="100"/>
      <c r="AQ7" s="100"/>
      <c r="AR7" s="101"/>
      <c r="AS7" s="99"/>
      <c r="AT7" s="100"/>
      <c r="AU7" s="100"/>
      <c r="AV7" s="101"/>
      <c r="AW7" s="99"/>
      <c r="AX7" s="100"/>
      <c r="AY7" s="100"/>
      <c r="AZ7" s="101"/>
      <c r="BA7" s="99"/>
      <c r="BB7" s="100"/>
      <c r="BC7" s="100"/>
      <c r="BD7" s="101"/>
      <c r="BE7" s="99"/>
      <c r="BF7" s="100"/>
      <c r="BG7" s="100"/>
      <c r="BH7" s="101"/>
      <c r="BI7" s="99"/>
      <c r="BJ7" s="100"/>
      <c r="BK7" s="100"/>
      <c r="BL7" s="101"/>
      <c r="BM7" s="99"/>
      <c r="BN7" s="100"/>
      <c r="BO7" s="100"/>
      <c r="BP7" s="101"/>
      <c r="BQ7" s="99"/>
      <c r="BR7" s="100"/>
      <c r="BS7" s="100"/>
      <c r="BT7" s="101"/>
      <c r="BU7" s="99"/>
      <c r="BV7" s="100"/>
      <c r="BW7" s="100"/>
      <c r="BX7" s="101"/>
      <c r="BY7" s="99"/>
      <c r="BZ7" s="100"/>
      <c r="CA7" s="100"/>
      <c r="CB7" s="101"/>
      <c r="CC7" s="99"/>
      <c r="CD7" s="100"/>
      <c r="CE7" s="100"/>
      <c r="CF7" s="101"/>
      <c r="CG7" s="99"/>
      <c r="CH7" s="100"/>
      <c r="CI7" s="100"/>
      <c r="CJ7" s="101"/>
      <c r="CK7" s="99"/>
      <c r="CL7" s="100"/>
      <c r="CM7" s="100"/>
      <c r="CN7" s="101"/>
      <c r="CO7" s="99"/>
      <c r="CP7" s="100"/>
      <c r="CQ7" s="100"/>
      <c r="CR7" s="101"/>
      <c r="CS7" s="99"/>
      <c r="CT7" s="100"/>
      <c r="CU7" s="100"/>
      <c r="CV7" s="101"/>
      <c r="CW7" s="99"/>
      <c r="CX7" s="100"/>
      <c r="CY7" s="100"/>
      <c r="CZ7" s="101"/>
      <c r="DA7" s="99"/>
      <c r="DB7" s="100"/>
      <c r="DC7" s="100"/>
      <c r="DD7" s="101"/>
      <c r="DE7" s="99"/>
      <c r="DF7" s="100"/>
      <c r="DG7" s="100"/>
      <c r="DH7" s="101"/>
      <c r="DI7" s="99"/>
      <c r="DJ7" s="100"/>
      <c r="DK7" s="100"/>
      <c r="DL7" s="101"/>
      <c r="DM7" s="99"/>
      <c r="DN7" s="100"/>
      <c r="DO7" s="100"/>
      <c r="DP7" s="101"/>
      <c r="DQ7" s="99"/>
      <c r="DR7" s="100"/>
      <c r="DS7" s="100"/>
      <c r="DT7" s="101"/>
      <c r="DU7" s="99"/>
      <c r="DV7" s="100"/>
      <c r="DW7" s="100"/>
      <c r="DX7" s="101"/>
      <c r="DY7" s="99"/>
      <c r="DZ7" s="100"/>
      <c r="EA7" s="100"/>
      <c r="EB7" s="101"/>
      <c r="EC7" s="99"/>
      <c r="ED7" s="100"/>
      <c r="EE7" s="100"/>
      <c r="EF7" s="101"/>
      <c r="EG7" s="99"/>
      <c r="EH7" s="100"/>
      <c r="EI7" s="100"/>
      <c r="EJ7" s="101"/>
      <c r="EK7" s="99"/>
      <c r="EL7" s="100"/>
      <c r="EM7" s="100"/>
      <c r="EN7" s="101"/>
      <c r="EO7" s="99"/>
      <c r="EP7" s="100"/>
      <c r="EQ7" s="100"/>
      <c r="ER7" s="101"/>
      <c r="ES7" s="99"/>
      <c r="ET7" s="100"/>
      <c r="EU7" s="100"/>
      <c r="EV7" s="101"/>
      <c r="EW7" s="99"/>
      <c r="EX7" s="100"/>
      <c r="EY7" s="100"/>
      <c r="EZ7" s="101"/>
      <c r="FA7" s="99"/>
      <c r="FB7" s="100"/>
      <c r="FC7" s="100"/>
      <c r="FD7" s="101"/>
      <c r="FE7" s="97"/>
      <c r="FF7" s="100"/>
      <c r="FG7" s="100"/>
      <c r="FH7" s="101"/>
      <c r="FI7" s="99"/>
      <c r="FJ7" s="100"/>
      <c r="FK7" s="100"/>
      <c r="FL7" s="101"/>
      <c r="FM7" s="99"/>
      <c r="FN7" s="100"/>
      <c r="FO7" s="100"/>
      <c r="FP7" s="101"/>
      <c r="FQ7" s="99"/>
      <c r="FR7" s="100"/>
      <c r="FS7" s="100"/>
      <c r="FT7" s="101"/>
      <c r="FU7" s="99"/>
      <c r="FV7" s="100"/>
      <c r="FW7" s="100"/>
      <c r="FX7" s="101"/>
      <c r="FY7" s="99"/>
      <c r="FZ7" s="100"/>
      <c r="GA7" s="100"/>
      <c r="GB7" s="101"/>
      <c r="GC7" s="99"/>
      <c r="GD7" s="100"/>
      <c r="GE7" s="100"/>
      <c r="GF7" s="101"/>
    </row>
    <row r="8" spans="1:193" s="102" customFormat="1" ht="30.75" customHeight="1">
      <c r="A8" s="103" t="s">
        <v>196</v>
      </c>
      <c r="B8" s="103" t="s">
        <v>197</v>
      </c>
      <c r="C8" s="104" t="s">
        <v>198</v>
      </c>
      <c r="D8" s="104"/>
      <c r="E8" s="518">
        <v>1980</v>
      </c>
      <c r="F8" s="519"/>
      <c r="G8" s="519"/>
      <c r="H8" s="520"/>
      <c r="I8" s="518">
        <f>+E8+1</f>
        <v>1981</v>
      </c>
      <c r="J8" s="519"/>
      <c r="K8" s="519"/>
      <c r="L8" s="520"/>
      <c r="M8" s="518">
        <f t="shared" ref="M8" si="0">+I8+1</f>
        <v>1982</v>
      </c>
      <c r="N8" s="519"/>
      <c r="O8" s="519"/>
      <c r="P8" s="520"/>
      <c r="Q8" s="518">
        <f t="shared" ref="Q8" si="1">+M8+1</f>
        <v>1983</v>
      </c>
      <c r="R8" s="519"/>
      <c r="S8" s="519"/>
      <c r="T8" s="520"/>
      <c r="U8" s="518">
        <f t="shared" ref="U8" si="2">+Q8+1</f>
        <v>1984</v>
      </c>
      <c r="V8" s="519"/>
      <c r="W8" s="519"/>
      <c r="X8" s="520"/>
      <c r="Y8" s="518">
        <f t="shared" ref="Y8" si="3">+U8+1</f>
        <v>1985</v>
      </c>
      <c r="Z8" s="519"/>
      <c r="AA8" s="519"/>
      <c r="AB8" s="520"/>
      <c r="AC8" s="518">
        <f t="shared" ref="AC8" si="4">+Y8+1</f>
        <v>1986</v>
      </c>
      <c r="AD8" s="519"/>
      <c r="AE8" s="519"/>
      <c r="AF8" s="520"/>
      <c r="AG8" s="518">
        <f t="shared" ref="AG8" si="5">+AC8+1</f>
        <v>1987</v>
      </c>
      <c r="AH8" s="519"/>
      <c r="AI8" s="519"/>
      <c r="AJ8" s="520"/>
      <c r="AK8" s="518">
        <f t="shared" ref="AK8" si="6">+AG8+1</f>
        <v>1988</v>
      </c>
      <c r="AL8" s="519"/>
      <c r="AM8" s="519"/>
      <c r="AN8" s="520"/>
      <c r="AO8" s="518">
        <f t="shared" ref="AO8" si="7">+AK8+1</f>
        <v>1989</v>
      </c>
      <c r="AP8" s="519"/>
      <c r="AQ8" s="519"/>
      <c r="AR8" s="520"/>
      <c r="AS8" s="518">
        <f t="shared" ref="AS8" si="8">+AO8+1</f>
        <v>1990</v>
      </c>
      <c r="AT8" s="519"/>
      <c r="AU8" s="519"/>
      <c r="AV8" s="520"/>
      <c r="AW8" s="518">
        <f t="shared" ref="AW8" si="9">+AS8+1</f>
        <v>1991</v>
      </c>
      <c r="AX8" s="519"/>
      <c r="AY8" s="519"/>
      <c r="AZ8" s="520"/>
      <c r="BA8" s="518">
        <f t="shared" ref="BA8" si="10">+AW8+1</f>
        <v>1992</v>
      </c>
      <c r="BB8" s="519"/>
      <c r="BC8" s="519"/>
      <c r="BD8" s="520"/>
      <c r="BE8" s="518">
        <f t="shared" ref="BE8" si="11">+BA8+1</f>
        <v>1993</v>
      </c>
      <c r="BF8" s="519"/>
      <c r="BG8" s="519"/>
      <c r="BH8" s="520"/>
      <c r="BI8" s="518">
        <f t="shared" ref="BI8" si="12">+BE8+1</f>
        <v>1994</v>
      </c>
      <c r="BJ8" s="519"/>
      <c r="BK8" s="519"/>
      <c r="BL8" s="520"/>
      <c r="BM8" s="518">
        <f t="shared" ref="BM8" si="13">+BI8+1</f>
        <v>1995</v>
      </c>
      <c r="BN8" s="519"/>
      <c r="BO8" s="519"/>
      <c r="BP8" s="520"/>
      <c r="BQ8" s="518">
        <f t="shared" ref="BQ8" si="14">+BM8+1</f>
        <v>1996</v>
      </c>
      <c r="BR8" s="519"/>
      <c r="BS8" s="519"/>
      <c r="BT8" s="520"/>
      <c r="BU8" s="518">
        <f t="shared" ref="BU8" si="15">+BQ8+1</f>
        <v>1997</v>
      </c>
      <c r="BV8" s="519"/>
      <c r="BW8" s="519"/>
      <c r="BX8" s="520"/>
      <c r="BY8" s="518">
        <f t="shared" ref="BY8" si="16">+BU8+1</f>
        <v>1998</v>
      </c>
      <c r="BZ8" s="519"/>
      <c r="CA8" s="519"/>
      <c r="CB8" s="520"/>
      <c r="CC8" s="518">
        <f t="shared" ref="CC8" si="17">+BY8+1</f>
        <v>1999</v>
      </c>
      <c r="CD8" s="519"/>
      <c r="CE8" s="519"/>
      <c r="CF8" s="520"/>
      <c r="CG8" s="518">
        <f t="shared" ref="CG8" si="18">+CC8+1</f>
        <v>2000</v>
      </c>
      <c r="CH8" s="519"/>
      <c r="CI8" s="519"/>
      <c r="CJ8" s="520"/>
      <c r="CK8" s="518">
        <f t="shared" ref="CK8" si="19">+CG8+1</f>
        <v>2001</v>
      </c>
      <c r="CL8" s="519"/>
      <c r="CM8" s="519"/>
      <c r="CN8" s="520"/>
      <c r="CO8" s="518">
        <f t="shared" ref="CO8" si="20">+CK8+1</f>
        <v>2002</v>
      </c>
      <c r="CP8" s="519"/>
      <c r="CQ8" s="519"/>
      <c r="CR8" s="520"/>
      <c r="CS8" s="518">
        <f t="shared" ref="CS8" si="21">+CO8+1</f>
        <v>2003</v>
      </c>
      <c r="CT8" s="519"/>
      <c r="CU8" s="519"/>
      <c r="CV8" s="520"/>
      <c r="CW8" s="518">
        <f t="shared" ref="CW8" si="22">+CS8+1</f>
        <v>2004</v>
      </c>
      <c r="CX8" s="519"/>
      <c r="CY8" s="519"/>
      <c r="CZ8" s="520"/>
      <c r="DA8" s="518">
        <f t="shared" ref="DA8" si="23">+CW8+1</f>
        <v>2005</v>
      </c>
      <c r="DB8" s="519"/>
      <c r="DC8" s="519"/>
      <c r="DD8" s="520"/>
      <c r="DE8" s="518">
        <f t="shared" ref="DE8" si="24">+DA8+1</f>
        <v>2006</v>
      </c>
      <c r="DF8" s="519"/>
      <c r="DG8" s="519"/>
      <c r="DH8" s="520"/>
      <c r="DI8" s="518">
        <f t="shared" ref="DI8" si="25">+DE8+1</f>
        <v>2007</v>
      </c>
      <c r="DJ8" s="519"/>
      <c r="DK8" s="519"/>
      <c r="DL8" s="520"/>
      <c r="DM8" s="518">
        <f t="shared" ref="DM8" si="26">+DI8+1</f>
        <v>2008</v>
      </c>
      <c r="DN8" s="519"/>
      <c r="DO8" s="519"/>
      <c r="DP8" s="520"/>
      <c r="DQ8" s="518">
        <f t="shared" ref="DQ8" si="27">+DM8+1</f>
        <v>2009</v>
      </c>
      <c r="DR8" s="519"/>
      <c r="DS8" s="519"/>
      <c r="DT8" s="520"/>
      <c r="DU8" s="518">
        <f t="shared" ref="DU8" si="28">+DQ8+1</f>
        <v>2010</v>
      </c>
      <c r="DV8" s="519"/>
      <c r="DW8" s="519"/>
      <c r="DX8" s="520"/>
      <c r="DY8" s="518">
        <f t="shared" ref="DY8" si="29">+DU8+1</f>
        <v>2011</v>
      </c>
      <c r="DZ8" s="519"/>
      <c r="EA8" s="519"/>
      <c r="EB8" s="520"/>
      <c r="EC8" s="518">
        <f>+DY8+1</f>
        <v>2012</v>
      </c>
      <c r="ED8" s="519"/>
      <c r="EE8" s="519"/>
      <c r="EF8" s="520"/>
      <c r="EG8" s="518">
        <f t="shared" ref="EG8" si="30">+EC8+1</f>
        <v>2013</v>
      </c>
      <c r="EH8" s="519"/>
      <c r="EI8" s="519"/>
      <c r="EJ8" s="520"/>
      <c r="EK8" s="518">
        <f t="shared" ref="EK8" si="31">+EG8+1</f>
        <v>2014</v>
      </c>
      <c r="EL8" s="519"/>
      <c r="EM8" s="519"/>
      <c r="EN8" s="520"/>
      <c r="EO8" s="518">
        <f t="shared" ref="EO8" si="32">+EK8+1</f>
        <v>2015</v>
      </c>
      <c r="EP8" s="519"/>
      <c r="EQ8" s="519"/>
      <c r="ER8" s="520"/>
      <c r="ES8" s="518">
        <f t="shared" ref="ES8" si="33">+EO8+1</f>
        <v>2016</v>
      </c>
      <c r="ET8" s="519"/>
      <c r="EU8" s="519"/>
      <c r="EV8" s="520"/>
      <c r="EW8" s="518">
        <f t="shared" ref="EW8" si="34">+ES8+1</f>
        <v>2017</v>
      </c>
      <c r="EX8" s="519"/>
      <c r="EY8" s="519"/>
      <c r="EZ8" s="520"/>
      <c r="FA8" s="518">
        <f t="shared" ref="FA8" si="35">+EW8+1</f>
        <v>2018</v>
      </c>
      <c r="FB8" s="519"/>
      <c r="FC8" s="519"/>
      <c r="FD8" s="520"/>
      <c r="FE8" s="518">
        <f t="shared" ref="FE8" si="36">+FA8+1</f>
        <v>2019</v>
      </c>
      <c r="FF8" s="519"/>
      <c r="FG8" s="519"/>
      <c r="FH8" s="520"/>
      <c r="FI8" s="518">
        <f t="shared" ref="FI8" si="37">+FE8+1</f>
        <v>2020</v>
      </c>
      <c r="FJ8" s="519"/>
      <c r="FK8" s="519"/>
      <c r="FL8" s="520"/>
      <c r="FM8" s="518">
        <v>2021</v>
      </c>
      <c r="FN8" s="519"/>
      <c r="FO8" s="519"/>
      <c r="FP8" s="520"/>
      <c r="FQ8" s="518">
        <v>2022</v>
      </c>
      <c r="FR8" s="519"/>
      <c r="FS8" s="519"/>
      <c r="FT8" s="520"/>
      <c r="FU8" s="518">
        <v>2023</v>
      </c>
      <c r="FV8" s="519"/>
      <c r="FW8" s="519"/>
      <c r="FX8" s="519"/>
      <c r="FY8" s="519">
        <v>2024</v>
      </c>
      <c r="FZ8" s="519"/>
      <c r="GA8" s="519"/>
      <c r="GB8" s="519"/>
      <c r="GC8" s="504"/>
      <c r="GD8" s="504"/>
      <c r="GE8" s="504"/>
      <c r="GF8" s="504"/>
      <c r="GG8" s="504"/>
      <c r="GH8" s="518"/>
      <c r="GI8" s="519"/>
      <c r="GJ8" s="519"/>
      <c r="GK8" s="519"/>
    </row>
    <row r="9" spans="1:193" s="102" customFormat="1" ht="12" customHeight="1" thickBot="1">
      <c r="A9" s="105"/>
      <c r="B9" s="105"/>
      <c r="C9" s="106"/>
      <c r="D9" s="106"/>
      <c r="E9" s="107" t="s">
        <v>199</v>
      </c>
      <c r="F9" s="108" t="s">
        <v>200</v>
      </c>
      <c r="G9" s="108" t="s">
        <v>201</v>
      </c>
      <c r="H9" s="109" t="s">
        <v>202</v>
      </c>
      <c r="I9" s="107" t="s">
        <v>199</v>
      </c>
      <c r="J9" s="108" t="s">
        <v>200</v>
      </c>
      <c r="K9" s="108" t="s">
        <v>201</v>
      </c>
      <c r="L9" s="109" t="s">
        <v>202</v>
      </c>
      <c r="M9" s="107" t="s">
        <v>199</v>
      </c>
      <c r="N9" s="108" t="s">
        <v>200</v>
      </c>
      <c r="O9" s="108" t="s">
        <v>201</v>
      </c>
      <c r="P9" s="109" t="s">
        <v>202</v>
      </c>
      <c r="Q9" s="107" t="s">
        <v>199</v>
      </c>
      <c r="R9" s="108" t="s">
        <v>200</v>
      </c>
      <c r="S9" s="108" t="s">
        <v>201</v>
      </c>
      <c r="T9" s="109" t="s">
        <v>202</v>
      </c>
      <c r="U9" s="107" t="s">
        <v>199</v>
      </c>
      <c r="V9" s="108" t="s">
        <v>200</v>
      </c>
      <c r="W9" s="108" t="s">
        <v>201</v>
      </c>
      <c r="X9" s="109" t="s">
        <v>202</v>
      </c>
      <c r="Y9" s="107" t="s">
        <v>199</v>
      </c>
      <c r="Z9" s="108" t="s">
        <v>200</v>
      </c>
      <c r="AA9" s="108" t="s">
        <v>201</v>
      </c>
      <c r="AB9" s="109" t="s">
        <v>202</v>
      </c>
      <c r="AC9" s="107" t="s">
        <v>199</v>
      </c>
      <c r="AD9" s="108" t="s">
        <v>200</v>
      </c>
      <c r="AE9" s="108" t="s">
        <v>201</v>
      </c>
      <c r="AF9" s="109" t="s">
        <v>202</v>
      </c>
      <c r="AG9" s="107" t="s">
        <v>199</v>
      </c>
      <c r="AH9" s="108" t="s">
        <v>200</v>
      </c>
      <c r="AI9" s="108" t="s">
        <v>201</v>
      </c>
      <c r="AJ9" s="109" t="s">
        <v>202</v>
      </c>
      <c r="AK9" s="107" t="s">
        <v>199</v>
      </c>
      <c r="AL9" s="108" t="s">
        <v>200</v>
      </c>
      <c r="AM9" s="108" t="s">
        <v>201</v>
      </c>
      <c r="AN9" s="109" t="s">
        <v>202</v>
      </c>
      <c r="AO9" s="107" t="s">
        <v>199</v>
      </c>
      <c r="AP9" s="108" t="s">
        <v>200</v>
      </c>
      <c r="AQ9" s="108" t="s">
        <v>201</v>
      </c>
      <c r="AR9" s="109" t="s">
        <v>202</v>
      </c>
      <c r="AS9" s="107" t="s">
        <v>199</v>
      </c>
      <c r="AT9" s="108" t="s">
        <v>200</v>
      </c>
      <c r="AU9" s="108" t="s">
        <v>201</v>
      </c>
      <c r="AV9" s="109" t="s">
        <v>202</v>
      </c>
      <c r="AW9" s="107" t="s">
        <v>199</v>
      </c>
      <c r="AX9" s="108" t="s">
        <v>200</v>
      </c>
      <c r="AY9" s="108" t="s">
        <v>201</v>
      </c>
      <c r="AZ9" s="109" t="s">
        <v>202</v>
      </c>
      <c r="BA9" s="107" t="s">
        <v>199</v>
      </c>
      <c r="BB9" s="108" t="s">
        <v>200</v>
      </c>
      <c r="BC9" s="108" t="s">
        <v>201</v>
      </c>
      <c r="BD9" s="109" t="s">
        <v>202</v>
      </c>
      <c r="BE9" s="107" t="s">
        <v>199</v>
      </c>
      <c r="BF9" s="108" t="s">
        <v>200</v>
      </c>
      <c r="BG9" s="108" t="s">
        <v>201</v>
      </c>
      <c r="BH9" s="109" t="s">
        <v>202</v>
      </c>
      <c r="BI9" s="107" t="s">
        <v>199</v>
      </c>
      <c r="BJ9" s="108" t="s">
        <v>200</v>
      </c>
      <c r="BK9" s="108" t="s">
        <v>201</v>
      </c>
      <c r="BL9" s="109" t="s">
        <v>202</v>
      </c>
      <c r="BM9" s="107" t="s">
        <v>199</v>
      </c>
      <c r="BN9" s="108" t="s">
        <v>200</v>
      </c>
      <c r="BO9" s="108" t="s">
        <v>201</v>
      </c>
      <c r="BP9" s="109" t="s">
        <v>202</v>
      </c>
      <c r="BQ9" s="107" t="s">
        <v>199</v>
      </c>
      <c r="BR9" s="108" t="s">
        <v>200</v>
      </c>
      <c r="BS9" s="108" t="s">
        <v>201</v>
      </c>
      <c r="BT9" s="109" t="s">
        <v>202</v>
      </c>
      <c r="BU9" s="107" t="s">
        <v>199</v>
      </c>
      <c r="BV9" s="108" t="s">
        <v>200</v>
      </c>
      <c r="BW9" s="108" t="s">
        <v>201</v>
      </c>
      <c r="BX9" s="109" t="s">
        <v>202</v>
      </c>
      <c r="BY9" s="107" t="s">
        <v>199</v>
      </c>
      <c r="BZ9" s="108" t="s">
        <v>200</v>
      </c>
      <c r="CA9" s="108" t="s">
        <v>201</v>
      </c>
      <c r="CB9" s="109" t="s">
        <v>202</v>
      </c>
      <c r="CC9" s="107" t="s">
        <v>199</v>
      </c>
      <c r="CD9" s="108" t="s">
        <v>200</v>
      </c>
      <c r="CE9" s="108" t="s">
        <v>201</v>
      </c>
      <c r="CF9" s="109" t="s">
        <v>202</v>
      </c>
      <c r="CG9" s="107" t="s">
        <v>199</v>
      </c>
      <c r="CH9" s="108" t="s">
        <v>200</v>
      </c>
      <c r="CI9" s="108" t="s">
        <v>201</v>
      </c>
      <c r="CJ9" s="109" t="s">
        <v>202</v>
      </c>
      <c r="CK9" s="107" t="s">
        <v>199</v>
      </c>
      <c r="CL9" s="108" t="s">
        <v>200</v>
      </c>
      <c r="CM9" s="108" t="s">
        <v>201</v>
      </c>
      <c r="CN9" s="109" t="s">
        <v>202</v>
      </c>
      <c r="CO9" s="107" t="s">
        <v>199</v>
      </c>
      <c r="CP9" s="108" t="s">
        <v>200</v>
      </c>
      <c r="CQ9" s="108" t="s">
        <v>201</v>
      </c>
      <c r="CR9" s="109" t="s">
        <v>202</v>
      </c>
      <c r="CS9" s="107" t="s">
        <v>199</v>
      </c>
      <c r="CT9" s="108" t="s">
        <v>200</v>
      </c>
      <c r="CU9" s="108" t="s">
        <v>201</v>
      </c>
      <c r="CV9" s="109" t="s">
        <v>202</v>
      </c>
      <c r="CW9" s="107" t="s">
        <v>199</v>
      </c>
      <c r="CX9" s="108" t="s">
        <v>200</v>
      </c>
      <c r="CY9" s="108" t="s">
        <v>201</v>
      </c>
      <c r="CZ9" s="109" t="s">
        <v>202</v>
      </c>
      <c r="DA9" s="107" t="s">
        <v>199</v>
      </c>
      <c r="DB9" s="108" t="s">
        <v>200</v>
      </c>
      <c r="DC9" s="108" t="s">
        <v>201</v>
      </c>
      <c r="DD9" s="109" t="s">
        <v>202</v>
      </c>
      <c r="DE9" s="107" t="s">
        <v>199</v>
      </c>
      <c r="DF9" s="108" t="s">
        <v>200</v>
      </c>
      <c r="DG9" s="108" t="s">
        <v>201</v>
      </c>
      <c r="DH9" s="109" t="s">
        <v>202</v>
      </c>
      <c r="DI9" s="107" t="s">
        <v>199</v>
      </c>
      <c r="DJ9" s="108" t="s">
        <v>200</v>
      </c>
      <c r="DK9" s="108" t="s">
        <v>201</v>
      </c>
      <c r="DL9" s="109" t="s">
        <v>202</v>
      </c>
      <c r="DM9" s="107" t="s">
        <v>199</v>
      </c>
      <c r="DN9" s="108" t="s">
        <v>200</v>
      </c>
      <c r="DO9" s="108" t="s">
        <v>201</v>
      </c>
      <c r="DP9" s="109" t="s">
        <v>202</v>
      </c>
      <c r="DQ9" s="107" t="s">
        <v>199</v>
      </c>
      <c r="DR9" s="108" t="s">
        <v>200</v>
      </c>
      <c r="DS9" s="108" t="s">
        <v>201</v>
      </c>
      <c r="DT9" s="109" t="s">
        <v>202</v>
      </c>
      <c r="DU9" s="107" t="s">
        <v>199</v>
      </c>
      <c r="DV9" s="108" t="s">
        <v>200</v>
      </c>
      <c r="DW9" s="108" t="s">
        <v>201</v>
      </c>
      <c r="DX9" s="109" t="s">
        <v>202</v>
      </c>
      <c r="DY9" s="107" t="s">
        <v>199</v>
      </c>
      <c r="DZ9" s="108" t="s">
        <v>200</v>
      </c>
      <c r="EA9" s="108" t="s">
        <v>201</v>
      </c>
      <c r="EB9" s="109" t="s">
        <v>202</v>
      </c>
      <c r="EC9" s="107" t="s">
        <v>199</v>
      </c>
      <c r="ED9" s="108" t="s">
        <v>200</v>
      </c>
      <c r="EE9" s="108" t="s">
        <v>201</v>
      </c>
      <c r="EF9" s="109" t="s">
        <v>202</v>
      </c>
      <c r="EG9" s="107" t="s">
        <v>199</v>
      </c>
      <c r="EH9" s="108" t="s">
        <v>200</v>
      </c>
      <c r="EI9" s="108" t="s">
        <v>201</v>
      </c>
      <c r="EJ9" s="109" t="s">
        <v>202</v>
      </c>
      <c r="EK9" s="107" t="s">
        <v>199</v>
      </c>
      <c r="EL9" s="108" t="s">
        <v>200</v>
      </c>
      <c r="EM9" s="108" t="s">
        <v>201</v>
      </c>
      <c r="EN9" s="109" t="s">
        <v>202</v>
      </c>
      <c r="EO9" s="107" t="s">
        <v>199</v>
      </c>
      <c r="EP9" s="108" t="s">
        <v>200</v>
      </c>
      <c r="EQ9" s="108" t="s">
        <v>201</v>
      </c>
      <c r="ER9" s="109" t="s">
        <v>202</v>
      </c>
      <c r="ES9" s="107" t="s">
        <v>199</v>
      </c>
      <c r="ET9" s="108" t="s">
        <v>200</v>
      </c>
      <c r="EU9" s="108" t="s">
        <v>201</v>
      </c>
      <c r="EV9" s="109" t="s">
        <v>202</v>
      </c>
      <c r="EW9" s="107" t="s">
        <v>199</v>
      </c>
      <c r="EX9" s="108" t="s">
        <v>200</v>
      </c>
      <c r="EY9" s="108" t="s">
        <v>201</v>
      </c>
      <c r="EZ9" s="109" t="s">
        <v>202</v>
      </c>
      <c r="FA9" s="107" t="s">
        <v>199</v>
      </c>
      <c r="FB9" s="108" t="s">
        <v>200</v>
      </c>
      <c r="FC9" s="108" t="s">
        <v>201</v>
      </c>
      <c r="FD9" s="109" t="s">
        <v>202</v>
      </c>
      <c r="FE9" s="108" t="s">
        <v>199</v>
      </c>
      <c r="FF9" s="108" t="s">
        <v>200</v>
      </c>
      <c r="FG9" s="108" t="s">
        <v>201</v>
      </c>
      <c r="FH9" s="109" t="s">
        <v>202</v>
      </c>
      <c r="FI9" s="107" t="s">
        <v>199</v>
      </c>
      <c r="FJ9" s="108" t="s">
        <v>200</v>
      </c>
      <c r="FK9" s="108" t="s">
        <v>201</v>
      </c>
      <c r="FL9" s="109" t="s">
        <v>202</v>
      </c>
      <c r="FM9" s="107" t="s">
        <v>199</v>
      </c>
      <c r="FN9" s="108" t="s">
        <v>200</v>
      </c>
      <c r="FO9" s="108" t="s">
        <v>201</v>
      </c>
      <c r="FP9" s="109" t="s">
        <v>202</v>
      </c>
      <c r="FQ9" s="107" t="s">
        <v>199</v>
      </c>
      <c r="FR9" s="108" t="s">
        <v>200</v>
      </c>
      <c r="FS9" s="108" t="s">
        <v>201</v>
      </c>
      <c r="FT9" s="109" t="s">
        <v>202</v>
      </c>
      <c r="FU9" s="107" t="s">
        <v>199</v>
      </c>
      <c r="FV9" s="108" t="s">
        <v>200</v>
      </c>
      <c r="FW9" s="108" t="s">
        <v>201</v>
      </c>
      <c r="FX9" s="109" t="s">
        <v>202</v>
      </c>
      <c r="FY9" s="107" t="s">
        <v>199</v>
      </c>
      <c r="FZ9" s="108" t="s">
        <v>200</v>
      </c>
      <c r="GA9" s="108" t="s">
        <v>201</v>
      </c>
      <c r="GB9" s="109" t="s">
        <v>202</v>
      </c>
      <c r="GC9" s="107" t="s">
        <v>199</v>
      </c>
      <c r="GD9" s="108" t="s">
        <v>200</v>
      </c>
      <c r="GE9" s="108" t="s">
        <v>201</v>
      </c>
      <c r="GF9" s="109" t="s">
        <v>202</v>
      </c>
      <c r="GG9" s="108" t="s">
        <v>200</v>
      </c>
      <c r="GH9" s="107" t="s">
        <v>199</v>
      </c>
      <c r="GI9" s="108" t="s">
        <v>200</v>
      </c>
      <c r="GJ9" s="108" t="s">
        <v>201</v>
      </c>
      <c r="GK9" s="109" t="s">
        <v>202</v>
      </c>
    </row>
    <row r="10" spans="1:193" ht="23.25" customHeight="1">
      <c r="D10" s="110"/>
      <c r="H10" s="111"/>
      <c r="I10" s="112"/>
      <c r="L10" s="111"/>
      <c r="M10" s="112"/>
      <c r="P10" s="111"/>
      <c r="Q10" s="112"/>
      <c r="T10" s="111"/>
      <c r="U10" s="112"/>
      <c r="X10" s="111"/>
      <c r="Y10" s="112"/>
      <c r="AB10" s="111"/>
      <c r="AC10" s="112"/>
      <c r="AF10" s="111"/>
      <c r="AG10" s="112"/>
      <c r="AJ10" s="111"/>
      <c r="AK10" s="112"/>
      <c r="AN10" s="111"/>
      <c r="AO10" s="112"/>
      <c r="AR10" s="111"/>
      <c r="AS10" s="112"/>
      <c r="AV10" s="111"/>
      <c r="AW10" s="112"/>
      <c r="AZ10" s="111"/>
      <c r="BA10" s="112"/>
      <c r="BD10" s="111"/>
      <c r="BE10" s="112"/>
      <c r="BH10" s="111"/>
      <c r="BI10" s="112"/>
      <c r="BL10" s="111"/>
      <c r="BM10" s="112"/>
      <c r="BP10" s="111"/>
      <c r="BQ10" s="112"/>
      <c r="BT10" s="111"/>
      <c r="BU10" s="112"/>
      <c r="BX10" s="111"/>
      <c r="BY10" s="112"/>
      <c r="CB10" s="111"/>
      <c r="CC10" s="112"/>
      <c r="CF10" s="111"/>
      <c r="CG10" s="112"/>
      <c r="CJ10" s="111"/>
      <c r="CK10" s="112"/>
      <c r="CN10" s="111"/>
      <c r="CO10" s="112"/>
      <c r="CR10" s="111"/>
      <c r="CS10" s="112"/>
      <c r="CV10" s="111"/>
      <c r="CW10" s="112"/>
      <c r="CZ10" s="111"/>
      <c r="DA10" s="112"/>
      <c r="DD10" s="111"/>
      <c r="DE10" s="112"/>
      <c r="DH10" s="111"/>
      <c r="DI10" s="112"/>
      <c r="DL10" s="111"/>
      <c r="DM10" s="112"/>
      <c r="DP10" s="111"/>
      <c r="DQ10" s="112"/>
      <c r="DT10" s="111"/>
      <c r="DU10" s="112"/>
      <c r="DX10" s="111"/>
      <c r="DY10" s="112"/>
      <c r="EB10" s="111"/>
      <c r="EC10" s="112"/>
      <c r="EF10" s="111"/>
      <c r="EG10" s="112"/>
      <c r="EJ10" s="111"/>
      <c r="EK10" s="112"/>
      <c r="EN10" s="111"/>
      <c r="EO10" s="112"/>
      <c r="ER10" s="111"/>
      <c r="ES10" s="112"/>
      <c r="EV10" s="111"/>
      <c r="EW10" s="112"/>
      <c r="EZ10" s="111"/>
      <c r="FA10" s="112"/>
      <c r="FD10" s="111"/>
      <c r="FH10" s="111"/>
      <c r="FI10" s="112"/>
      <c r="FL10" s="111"/>
      <c r="FM10" s="112"/>
      <c r="FP10" s="111"/>
      <c r="FQ10" s="112"/>
      <c r="FT10" s="111"/>
      <c r="FU10" s="111" t="s">
        <v>715</v>
      </c>
      <c r="FV10" s="111" t="s">
        <v>715</v>
      </c>
      <c r="FW10" s="111" t="s">
        <v>715</v>
      </c>
      <c r="FX10" s="111" t="s">
        <v>715</v>
      </c>
      <c r="FY10" s="111" t="s">
        <v>715</v>
      </c>
      <c r="FZ10" s="111" t="s">
        <v>715</v>
      </c>
      <c r="GA10" s="111" t="s">
        <v>715</v>
      </c>
      <c r="GB10" s="111" t="s">
        <v>715</v>
      </c>
      <c r="GC10" s="111" t="s">
        <v>715</v>
      </c>
      <c r="GD10" s="111" t="s">
        <v>715</v>
      </c>
      <c r="GE10" s="111" t="s">
        <v>715</v>
      </c>
      <c r="GF10" s="111" t="s">
        <v>715</v>
      </c>
      <c r="GG10" s="91" t="s">
        <v>715</v>
      </c>
    </row>
    <row r="11" spans="1:193" ht="30" customHeight="1">
      <c r="A11" s="113"/>
      <c r="B11" s="113"/>
      <c r="C11" s="113" t="s">
        <v>203</v>
      </c>
      <c r="D11" s="114"/>
      <c r="E11" s="115"/>
      <c r="F11" s="116"/>
      <c r="G11" s="116"/>
      <c r="H11" s="117"/>
      <c r="I11" s="118"/>
      <c r="J11" s="116"/>
      <c r="K11" s="116"/>
      <c r="L11" s="117"/>
      <c r="M11" s="118"/>
      <c r="N11" s="116"/>
      <c r="O11" s="116"/>
      <c r="P11" s="117"/>
      <c r="Q11" s="118"/>
      <c r="R11" s="116"/>
      <c r="S11" s="116"/>
      <c r="T11" s="117"/>
      <c r="U11" s="118"/>
      <c r="V11" s="116"/>
      <c r="W11" s="116"/>
      <c r="X11" s="117"/>
      <c r="Y11" s="118"/>
      <c r="Z11" s="116"/>
      <c r="AA11" s="116"/>
      <c r="AB11" s="117"/>
      <c r="AC11" s="118"/>
      <c r="AD11" s="116"/>
      <c r="AE11" s="116"/>
      <c r="AF11" s="117"/>
      <c r="AG11" s="118"/>
      <c r="AH11" s="116"/>
      <c r="AI11" s="116"/>
      <c r="AJ11" s="117"/>
      <c r="AK11" s="118"/>
      <c r="AL11" s="116"/>
      <c r="AM11" s="116"/>
      <c r="AN11" s="117"/>
      <c r="AO11" s="118"/>
      <c r="AP11" s="116"/>
      <c r="AQ11" s="116"/>
      <c r="AR11" s="117"/>
      <c r="AS11" s="118"/>
      <c r="AT11" s="116"/>
      <c r="AU11" s="116"/>
      <c r="AV11" s="117"/>
      <c r="AW11" s="118"/>
      <c r="AX11" s="116"/>
      <c r="AY11" s="116"/>
      <c r="AZ11" s="117"/>
      <c r="BA11" s="118"/>
      <c r="BB11" s="116"/>
      <c r="BC11" s="116"/>
      <c r="BD11" s="117"/>
      <c r="BE11" s="118"/>
      <c r="BF11" s="116"/>
      <c r="BG11" s="116"/>
      <c r="BH11" s="117"/>
      <c r="BI11" s="118"/>
      <c r="BJ11" s="116"/>
      <c r="BK11" s="116"/>
      <c r="BL11" s="117"/>
      <c r="BM11" s="118"/>
      <c r="BN11" s="116"/>
      <c r="BO11" s="116"/>
      <c r="BP11" s="117"/>
      <c r="BQ11" s="118"/>
      <c r="BR11" s="116"/>
      <c r="BS11" s="116"/>
      <c r="BT11" s="117"/>
      <c r="BU11" s="118"/>
      <c r="BV11" s="116"/>
      <c r="BW11" s="116"/>
      <c r="BX11" s="117"/>
      <c r="BY11" s="118"/>
      <c r="BZ11" s="116"/>
      <c r="CA11" s="116"/>
      <c r="CB11" s="117"/>
      <c r="CC11" s="118"/>
      <c r="CD11" s="116"/>
      <c r="CE11" s="116"/>
      <c r="CF11" s="117"/>
      <c r="CG11" s="118"/>
      <c r="CH11" s="116"/>
      <c r="CI11" s="116"/>
      <c r="CJ11" s="117"/>
      <c r="CK11" s="118"/>
      <c r="CL11" s="116"/>
      <c r="CM11" s="116"/>
      <c r="CN11" s="117"/>
      <c r="CO11" s="118"/>
      <c r="CP11" s="116"/>
      <c r="CQ11" s="116"/>
      <c r="CR11" s="117"/>
      <c r="CS11" s="118"/>
      <c r="CT11" s="116"/>
      <c r="CU11" s="116"/>
      <c r="CV11" s="117"/>
      <c r="CW11" s="118"/>
      <c r="CX11" s="116"/>
      <c r="CY11" s="116"/>
      <c r="CZ11" s="117"/>
      <c r="DA11" s="118"/>
      <c r="DB11" s="116"/>
      <c r="DC11" s="116"/>
      <c r="DD11" s="117"/>
      <c r="DE11" s="118"/>
      <c r="DF11" s="116"/>
      <c r="DG11" s="116"/>
      <c r="DH11" s="117"/>
      <c r="DI11" s="118"/>
      <c r="DJ11" s="116"/>
      <c r="DK11" s="116"/>
      <c r="DL11" s="117"/>
      <c r="DM11" s="118"/>
      <c r="DN11" s="116"/>
      <c r="DO11" s="116"/>
      <c r="DP11" s="117"/>
      <c r="DQ11" s="118"/>
      <c r="DR11" s="116"/>
      <c r="DS11" s="116"/>
      <c r="DT11" s="117"/>
      <c r="DU11" s="118"/>
      <c r="DV11" s="116"/>
      <c r="DW11" s="116"/>
      <c r="DX11" s="117"/>
      <c r="DY11" s="118"/>
      <c r="DZ11" s="116"/>
      <c r="EA11" s="116"/>
      <c r="EB11" s="117"/>
      <c r="EC11" s="118"/>
      <c r="ED11" s="116"/>
      <c r="EE11" s="116"/>
      <c r="EF11" s="117"/>
      <c r="EG11" s="118"/>
      <c r="EH11" s="116"/>
      <c r="EI11" s="116"/>
      <c r="EJ11" s="117"/>
      <c r="EK11" s="118"/>
      <c r="EL11" s="116"/>
      <c r="EM11" s="116"/>
      <c r="EN11" s="117"/>
      <c r="EO11" s="118"/>
      <c r="EP11" s="116"/>
      <c r="EQ11" s="116"/>
      <c r="ER11" s="117"/>
      <c r="ES11" s="118"/>
      <c r="ET11" s="116"/>
      <c r="EU11" s="116"/>
      <c r="EV11" s="117"/>
      <c r="EW11" s="118"/>
      <c r="EX11" s="116"/>
      <c r="EY11" s="116"/>
      <c r="EZ11" s="117"/>
      <c r="FA11" s="118"/>
      <c r="FB11" s="116"/>
      <c r="FC11" s="116"/>
      <c r="FD11" s="117"/>
      <c r="FE11" s="116"/>
      <c r="FF11" s="116"/>
      <c r="FG11" s="116"/>
      <c r="FH11" s="117"/>
      <c r="FI11" s="118"/>
      <c r="FJ11" s="116"/>
      <c r="FK11" s="116"/>
      <c r="FL11" s="117"/>
      <c r="FM11" s="118"/>
      <c r="FN11" s="116"/>
      <c r="FO11" s="116"/>
      <c r="FP11" s="117"/>
      <c r="FQ11" s="118"/>
      <c r="FR11" s="116"/>
      <c r="FS11" s="116"/>
      <c r="FT11" s="117"/>
      <c r="FU11" s="118"/>
      <c r="FV11" s="116"/>
      <c r="FW11" s="116"/>
      <c r="FX11" s="117"/>
      <c r="FY11" s="118"/>
      <c r="FZ11" s="116"/>
      <c r="GA11" s="116"/>
      <c r="GB11" s="117"/>
      <c r="GC11" s="118"/>
      <c r="GD11" s="116"/>
      <c r="GE11" s="116"/>
      <c r="GF11" s="117"/>
      <c r="GG11" s="116"/>
    </row>
    <row r="12" spans="1:193" ht="16">
      <c r="A12" s="119" t="s">
        <v>204</v>
      </c>
      <c r="B12" s="119" t="s">
        <v>205</v>
      </c>
      <c r="C12" s="120" t="s">
        <v>206</v>
      </c>
      <c r="D12" s="121"/>
      <c r="E12" s="122">
        <v>0</v>
      </c>
      <c r="F12" s="123">
        <v>0</v>
      </c>
      <c r="G12" s="123">
        <v>0</v>
      </c>
      <c r="H12" s="124">
        <v>0</v>
      </c>
      <c r="I12" s="125">
        <v>0</v>
      </c>
      <c r="J12" s="123">
        <v>0</v>
      </c>
      <c r="K12" s="123">
        <v>0</v>
      </c>
      <c r="L12" s="124">
        <v>0</v>
      </c>
      <c r="M12" s="125">
        <v>0</v>
      </c>
      <c r="N12" s="123">
        <v>0</v>
      </c>
      <c r="O12" s="123">
        <v>0</v>
      </c>
      <c r="P12" s="124">
        <v>0</v>
      </c>
      <c r="Q12" s="125">
        <v>0</v>
      </c>
      <c r="R12" s="123">
        <v>0</v>
      </c>
      <c r="S12" s="123">
        <v>0</v>
      </c>
      <c r="T12" s="124">
        <v>0</v>
      </c>
      <c r="U12" s="125">
        <v>0</v>
      </c>
      <c r="V12" s="123">
        <v>0</v>
      </c>
      <c r="W12" s="123">
        <v>0</v>
      </c>
      <c r="X12" s="124">
        <v>0</v>
      </c>
      <c r="Y12" s="125">
        <v>0</v>
      </c>
      <c r="Z12" s="123">
        <v>0</v>
      </c>
      <c r="AA12" s="123">
        <v>0</v>
      </c>
      <c r="AB12" s="124">
        <v>0</v>
      </c>
      <c r="AC12" s="125">
        <v>0</v>
      </c>
      <c r="AD12" s="123">
        <v>0</v>
      </c>
      <c r="AE12" s="123">
        <v>0</v>
      </c>
      <c r="AF12" s="124">
        <v>0</v>
      </c>
      <c r="AG12" s="125">
        <v>0</v>
      </c>
      <c r="AH12" s="123">
        <v>0</v>
      </c>
      <c r="AI12" s="123">
        <v>0</v>
      </c>
      <c r="AJ12" s="124">
        <v>0</v>
      </c>
      <c r="AK12" s="125">
        <v>0</v>
      </c>
      <c r="AL12" s="123">
        <v>0</v>
      </c>
      <c r="AM12" s="123">
        <v>0</v>
      </c>
      <c r="AN12" s="124">
        <v>0</v>
      </c>
      <c r="AO12" s="125">
        <v>0</v>
      </c>
      <c r="AP12" s="123">
        <v>0</v>
      </c>
      <c r="AQ12" s="123">
        <v>0</v>
      </c>
      <c r="AR12" s="124">
        <v>0</v>
      </c>
      <c r="AS12" s="125">
        <v>0</v>
      </c>
      <c r="AT12" s="123">
        <v>0</v>
      </c>
      <c r="AU12" s="123">
        <v>0</v>
      </c>
      <c r="AV12" s="124">
        <v>0</v>
      </c>
      <c r="AW12" s="125">
        <v>0</v>
      </c>
      <c r="AX12" s="123">
        <v>0</v>
      </c>
      <c r="AY12" s="123">
        <v>0</v>
      </c>
      <c r="AZ12" s="124">
        <v>0</v>
      </c>
      <c r="BA12" s="125">
        <v>0</v>
      </c>
      <c r="BB12" s="123">
        <v>0</v>
      </c>
      <c r="BC12" s="123">
        <v>0</v>
      </c>
      <c r="BD12" s="124">
        <v>0</v>
      </c>
      <c r="BE12" s="125">
        <v>0</v>
      </c>
      <c r="BF12" s="123">
        <v>0</v>
      </c>
      <c r="BG12" s="123">
        <v>0</v>
      </c>
      <c r="BH12" s="124">
        <v>0</v>
      </c>
      <c r="BI12" s="125">
        <v>0</v>
      </c>
      <c r="BJ12" s="123">
        <v>0</v>
      </c>
      <c r="BK12" s="123">
        <v>0</v>
      </c>
      <c r="BL12" s="124">
        <v>0</v>
      </c>
      <c r="BM12" s="125">
        <v>0</v>
      </c>
      <c r="BN12" s="123">
        <v>0</v>
      </c>
      <c r="BO12" s="123">
        <v>0</v>
      </c>
      <c r="BP12" s="124">
        <v>0</v>
      </c>
      <c r="BQ12" s="125">
        <v>0</v>
      </c>
      <c r="BR12" s="123">
        <v>0</v>
      </c>
      <c r="BS12" s="123">
        <v>0</v>
      </c>
      <c r="BT12" s="124">
        <v>0</v>
      </c>
      <c r="BU12" s="125">
        <v>0</v>
      </c>
      <c r="BV12" s="123">
        <v>0</v>
      </c>
      <c r="BW12" s="123">
        <v>0</v>
      </c>
      <c r="BX12" s="124">
        <v>0</v>
      </c>
      <c r="BY12" s="125">
        <v>0</v>
      </c>
      <c r="BZ12" s="123">
        <v>0</v>
      </c>
      <c r="CA12" s="123">
        <v>0</v>
      </c>
      <c r="CB12" s="124">
        <v>0</v>
      </c>
      <c r="CC12" s="125">
        <v>0</v>
      </c>
      <c r="CD12" s="123">
        <v>0</v>
      </c>
      <c r="CE12" s="123">
        <v>0</v>
      </c>
      <c r="CF12" s="124">
        <v>0</v>
      </c>
      <c r="CG12" s="125">
        <v>0</v>
      </c>
      <c r="CH12" s="123">
        <v>0</v>
      </c>
      <c r="CI12" s="123">
        <v>0</v>
      </c>
      <c r="CJ12" s="124">
        <v>0</v>
      </c>
      <c r="CK12" s="125">
        <v>0</v>
      </c>
      <c r="CL12" s="123">
        <v>0</v>
      </c>
      <c r="CM12" s="123">
        <v>0</v>
      </c>
      <c r="CN12" s="124">
        <v>0</v>
      </c>
      <c r="CO12" s="125">
        <v>0</v>
      </c>
      <c r="CP12" s="123">
        <v>0</v>
      </c>
      <c r="CQ12" s="123">
        <v>0</v>
      </c>
      <c r="CR12" s="124">
        <v>0</v>
      </c>
      <c r="CS12" s="125">
        <v>0</v>
      </c>
      <c r="CT12" s="123">
        <v>0</v>
      </c>
      <c r="CU12" s="123">
        <v>0</v>
      </c>
      <c r="CV12" s="124">
        <v>0</v>
      </c>
      <c r="CW12" s="125">
        <v>0</v>
      </c>
      <c r="CX12" s="123">
        <v>0</v>
      </c>
      <c r="CY12" s="123">
        <v>0</v>
      </c>
      <c r="CZ12" s="124">
        <v>0</v>
      </c>
      <c r="DA12" s="125">
        <v>0</v>
      </c>
      <c r="DB12" s="123">
        <v>0</v>
      </c>
      <c r="DC12" s="123">
        <v>0</v>
      </c>
      <c r="DD12" s="124">
        <v>0</v>
      </c>
      <c r="DE12" s="125">
        <v>0</v>
      </c>
      <c r="DF12" s="123">
        <v>0</v>
      </c>
      <c r="DG12" s="123">
        <v>0</v>
      </c>
      <c r="DH12" s="124">
        <v>0</v>
      </c>
      <c r="DI12" s="125">
        <v>0</v>
      </c>
      <c r="DJ12" s="123">
        <v>0</v>
      </c>
      <c r="DK12" s="123">
        <v>0</v>
      </c>
      <c r="DL12" s="124">
        <v>0</v>
      </c>
      <c r="DM12" s="125">
        <v>0</v>
      </c>
      <c r="DN12" s="123">
        <v>0</v>
      </c>
      <c r="DO12" s="123">
        <v>0</v>
      </c>
      <c r="DP12" s="124">
        <v>0</v>
      </c>
      <c r="DQ12" s="125">
        <v>0</v>
      </c>
      <c r="DR12" s="123">
        <v>0</v>
      </c>
      <c r="DS12" s="123">
        <v>0</v>
      </c>
      <c r="DT12" s="124">
        <v>0</v>
      </c>
      <c r="DU12" s="125">
        <v>0</v>
      </c>
      <c r="DV12" s="123">
        <v>0</v>
      </c>
      <c r="DW12" s="123">
        <v>0</v>
      </c>
      <c r="DX12" s="124">
        <v>0</v>
      </c>
      <c r="DY12" s="125">
        <v>0</v>
      </c>
      <c r="DZ12" s="123">
        <v>0</v>
      </c>
      <c r="EA12" s="123">
        <v>0</v>
      </c>
      <c r="EB12" s="124">
        <v>0</v>
      </c>
      <c r="EC12" s="126">
        <f>+EC13+EC14</f>
        <v>2719.6506381489999</v>
      </c>
      <c r="ED12" s="126">
        <f t="shared" ref="ED12:FL12" si="38">+ED13+ED14</f>
        <v>2732.9763249279999</v>
      </c>
      <c r="EE12" s="126">
        <f t="shared" si="38"/>
        <v>2881.0355374332357</v>
      </c>
      <c r="EF12" s="126">
        <f t="shared" si="38"/>
        <v>3076.0593338269787</v>
      </c>
      <c r="EG12" s="126">
        <f t="shared" si="38"/>
        <v>3107.7427885933921</v>
      </c>
      <c r="EH12" s="126">
        <f t="shared" si="38"/>
        <v>3119.998</v>
      </c>
      <c r="EI12" s="126">
        <f t="shared" si="38"/>
        <v>3151</v>
      </c>
      <c r="EJ12" s="126">
        <f t="shared" si="38"/>
        <v>3341.68</v>
      </c>
      <c r="EK12" s="126">
        <f t="shared" si="38"/>
        <v>3429.0859999999998</v>
      </c>
      <c r="EL12" s="126">
        <f t="shared" si="38"/>
        <v>3424.6189999999997</v>
      </c>
      <c r="EM12" s="126">
        <f t="shared" si="38"/>
        <v>3740.89</v>
      </c>
      <c r="EN12" s="126">
        <f t="shared" si="38"/>
        <v>4112.9270000000006</v>
      </c>
      <c r="EO12" s="126">
        <f t="shared" si="38"/>
        <v>4234.5</v>
      </c>
      <c r="EP12" s="126">
        <f t="shared" si="38"/>
        <v>4293.3999999999996</v>
      </c>
      <c r="EQ12" s="126">
        <f t="shared" si="38"/>
        <v>4317.3</v>
      </c>
      <c r="ER12" s="126">
        <f t="shared" si="38"/>
        <v>4597.6260000000002</v>
      </c>
      <c r="ES12" s="126">
        <f t="shared" si="38"/>
        <v>4827.5</v>
      </c>
      <c r="ET12" s="126">
        <f t="shared" si="38"/>
        <v>4894.3</v>
      </c>
      <c r="EU12" s="126">
        <f t="shared" si="38"/>
        <v>5088.8999999999996</v>
      </c>
      <c r="EV12" s="126">
        <f t="shared" si="38"/>
        <v>5422.9</v>
      </c>
      <c r="EW12" s="126">
        <f t="shared" si="38"/>
        <v>5303.1</v>
      </c>
      <c r="EX12" s="126">
        <f t="shared" si="38"/>
        <v>5872.7</v>
      </c>
      <c r="EY12" s="126">
        <f t="shared" si="38"/>
        <v>5865</v>
      </c>
      <c r="EZ12" s="125">
        <f t="shared" si="38"/>
        <v>5848.5</v>
      </c>
      <c r="FA12" s="125">
        <f t="shared" si="38"/>
        <v>7025.1</v>
      </c>
      <c r="FB12" s="125">
        <f t="shared" si="38"/>
        <v>7029.9000000000005</v>
      </c>
      <c r="FC12" s="125">
        <v>7053</v>
      </c>
      <c r="FD12" s="125">
        <f t="shared" si="38"/>
        <v>7180.3</v>
      </c>
      <c r="FE12" s="123">
        <f t="shared" si="38"/>
        <v>7384.3</v>
      </c>
      <c r="FF12" s="125">
        <f t="shared" si="38"/>
        <v>7403.5</v>
      </c>
      <c r="FG12" s="125">
        <f t="shared" si="38"/>
        <v>7574.8</v>
      </c>
      <c r="FH12" s="125">
        <f t="shared" si="38"/>
        <v>7825</v>
      </c>
      <c r="FI12" s="125">
        <f t="shared" si="38"/>
        <v>8048.8399999999992</v>
      </c>
      <c r="FJ12" s="125">
        <f t="shared" si="38"/>
        <v>8498.7060000000001</v>
      </c>
      <c r="FK12" s="125">
        <f t="shared" si="38"/>
        <v>8975.9779999999992</v>
      </c>
      <c r="FL12" s="125">
        <f t="shared" si="38"/>
        <v>8904.8599999999988</v>
      </c>
      <c r="FM12" s="125">
        <f>+FM13+FM14</f>
        <v>9072.2999999999993</v>
      </c>
      <c r="FN12" s="123">
        <f>+FN13+FN14</f>
        <v>9726.9090868625608</v>
      </c>
      <c r="FO12" s="123">
        <f>+FO13+FO14</f>
        <v>9977.3428141610966</v>
      </c>
      <c r="FP12" s="124">
        <f>+FP13+FP14</f>
        <v>10297.040000000001</v>
      </c>
      <c r="FQ12" s="124">
        <f t="shared" ref="FQ12:FT12" si="39">+FQ13+FQ14</f>
        <v>10680.68</v>
      </c>
      <c r="FR12" s="124">
        <f t="shared" si="39"/>
        <v>11325.654999999999</v>
      </c>
      <c r="FS12" s="124">
        <f t="shared" si="39"/>
        <v>11454.36</v>
      </c>
      <c r="FT12" s="124">
        <f t="shared" si="39"/>
        <v>11782.8</v>
      </c>
      <c r="FU12" s="124">
        <v>12630.869999999999</v>
      </c>
      <c r="FV12" s="123">
        <v>13331.8</v>
      </c>
      <c r="FW12" s="123">
        <v>13751.8</v>
      </c>
      <c r="FX12" s="124">
        <v>13854.2</v>
      </c>
      <c r="FY12" s="125">
        <v>14255.2</v>
      </c>
      <c r="FZ12" s="123">
        <v>14991.839999999998</v>
      </c>
      <c r="GA12" s="123">
        <v>0</v>
      </c>
      <c r="GB12" s="124">
        <v>0</v>
      </c>
      <c r="GC12" s="125">
        <v>0</v>
      </c>
      <c r="GD12" s="123">
        <v>0</v>
      </c>
      <c r="GE12" s="123">
        <v>0</v>
      </c>
      <c r="GF12" s="124">
        <v>0</v>
      </c>
      <c r="GG12" s="124"/>
    </row>
    <row r="13" spans="1:193" ht="16">
      <c r="A13" s="119" t="s">
        <v>207</v>
      </c>
      <c r="B13" s="127" t="s">
        <v>208</v>
      </c>
      <c r="C13" s="128" t="s">
        <v>209</v>
      </c>
      <c r="D13" s="129"/>
      <c r="E13" s="130"/>
      <c r="F13" s="131"/>
      <c r="G13" s="131"/>
      <c r="H13" s="132"/>
      <c r="I13" s="133"/>
      <c r="J13" s="131"/>
      <c r="K13" s="131"/>
      <c r="L13" s="132"/>
      <c r="M13" s="133"/>
      <c r="N13" s="131"/>
      <c r="O13" s="131"/>
      <c r="P13" s="132"/>
      <c r="Q13" s="133"/>
      <c r="R13" s="131"/>
      <c r="S13" s="131"/>
      <c r="T13" s="132"/>
      <c r="U13" s="133"/>
      <c r="V13" s="131"/>
      <c r="W13" s="131"/>
      <c r="X13" s="132"/>
      <c r="Y13" s="133"/>
      <c r="Z13" s="131"/>
      <c r="AA13" s="131"/>
      <c r="AB13" s="132"/>
      <c r="AC13" s="133"/>
      <c r="AD13" s="131"/>
      <c r="AE13" s="131"/>
      <c r="AF13" s="132"/>
      <c r="AG13" s="133"/>
      <c r="AH13" s="131"/>
      <c r="AI13" s="131"/>
      <c r="AJ13" s="132"/>
      <c r="AK13" s="133"/>
      <c r="AL13" s="131"/>
      <c r="AM13" s="131"/>
      <c r="AN13" s="132"/>
      <c r="AO13" s="133"/>
      <c r="AP13" s="131"/>
      <c r="AQ13" s="131"/>
      <c r="AR13" s="132"/>
      <c r="AS13" s="133"/>
      <c r="AT13" s="131"/>
      <c r="AU13" s="131"/>
      <c r="AV13" s="132"/>
      <c r="AW13" s="133"/>
      <c r="AX13" s="131"/>
      <c r="AY13" s="131"/>
      <c r="AZ13" s="132"/>
      <c r="BA13" s="133"/>
      <c r="BB13" s="131"/>
      <c r="BC13" s="131"/>
      <c r="BD13" s="132"/>
      <c r="BE13" s="133"/>
      <c r="BF13" s="131"/>
      <c r="BG13" s="131"/>
      <c r="BH13" s="132"/>
      <c r="BI13" s="133"/>
      <c r="BJ13" s="131"/>
      <c r="BK13" s="131"/>
      <c r="BL13" s="132"/>
      <c r="BM13" s="133"/>
      <c r="BN13" s="131"/>
      <c r="BO13" s="131"/>
      <c r="BP13" s="132"/>
      <c r="BQ13" s="133"/>
      <c r="BR13" s="131"/>
      <c r="BS13" s="131"/>
      <c r="BT13" s="132"/>
      <c r="BU13" s="133"/>
      <c r="BV13" s="131"/>
      <c r="BW13" s="131"/>
      <c r="BX13" s="132"/>
      <c r="BY13" s="133"/>
      <c r="BZ13" s="131"/>
      <c r="CA13" s="131"/>
      <c r="CB13" s="132"/>
      <c r="CC13" s="133"/>
      <c r="CD13" s="131"/>
      <c r="CE13" s="131"/>
      <c r="CF13" s="132"/>
      <c r="CG13" s="133"/>
      <c r="CH13" s="131"/>
      <c r="CI13" s="131"/>
      <c r="CJ13" s="132"/>
      <c r="CK13" s="133"/>
      <c r="CL13" s="131"/>
      <c r="CM13" s="131"/>
      <c r="CN13" s="132"/>
      <c r="CO13" s="133"/>
      <c r="CP13" s="131"/>
      <c r="CQ13" s="131"/>
      <c r="CR13" s="132"/>
      <c r="CS13" s="133"/>
      <c r="CT13" s="131"/>
      <c r="CU13" s="131"/>
      <c r="CV13" s="132"/>
      <c r="CW13" s="133"/>
      <c r="CX13" s="131"/>
      <c r="CY13" s="131"/>
      <c r="CZ13" s="132"/>
      <c r="DA13" s="133"/>
      <c r="DB13" s="131"/>
      <c r="DC13" s="131"/>
      <c r="DD13" s="132"/>
      <c r="DE13" s="133"/>
      <c r="DF13" s="131"/>
      <c r="DG13" s="131"/>
      <c r="DH13" s="132"/>
      <c r="DI13" s="133"/>
      <c r="DJ13" s="131"/>
      <c r="DK13" s="131"/>
      <c r="DL13" s="132"/>
      <c r="DM13" s="133"/>
      <c r="DN13" s="131"/>
      <c r="DO13" s="131"/>
      <c r="DP13" s="132"/>
      <c r="DQ13" s="133"/>
      <c r="DR13" s="131"/>
      <c r="DS13" s="131"/>
      <c r="DT13" s="132"/>
      <c r="DU13" s="133"/>
      <c r="DV13" s="131"/>
      <c r="DW13" s="131"/>
      <c r="DX13" s="132"/>
      <c r="DY13" s="133"/>
      <c r="DZ13" s="131"/>
      <c r="EA13" s="131"/>
      <c r="EB13" s="132"/>
      <c r="EC13" s="134">
        <v>656.000638149</v>
      </c>
      <c r="ED13" s="135">
        <v>689.47632492799994</v>
      </c>
      <c r="EE13" s="135">
        <v>718.45553743323592</v>
      </c>
      <c r="EF13" s="136">
        <v>798.52933382697836</v>
      </c>
      <c r="EG13" s="133">
        <v>808</v>
      </c>
      <c r="EH13" s="131">
        <v>811.39800000000002</v>
      </c>
      <c r="EI13" s="131">
        <v>832.8</v>
      </c>
      <c r="EJ13" s="132">
        <v>974</v>
      </c>
      <c r="EK13" s="133">
        <v>955.71600000000001</v>
      </c>
      <c r="EL13" s="131">
        <v>942.01900000000001</v>
      </c>
      <c r="EM13" s="131">
        <v>1000.69</v>
      </c>
      <c r="EN13" s="132">
        <v>1065.5170000000001</v>
      </c>
      <c r="EO13" s="133">
        <v>1099.5</v>
      </c>
      <c r="EP13" s="131">
        <v>1151.5</v>
      </c>
      <c r="EQ13" s="131">
        <v>1192.3</v>
      </c>
      <c r="ER13" s="132">
        <v>1279.7260000000001</v>
      </c>
      <c r="ES13" s="133">
        <v>1432</v>
      </c>
      <c r="ET13" s="131">
        <v>1414.7</v>
      </c>
      <c r="EU13" s="131">
        <v>1546.6</v>
      </c>
      <c r="EV13" s="132">
        <v>1597.7</v>
      </c>
      <c r="EW13" s="133">
        <v>1533.1</v>
      </c>
      <c r="EX13" s="131">
        <v>1396.5</v>
      </c>
      <c r="EY13" s="131">
        <v>1349.4</v>
      </c>
      <c r="EZ13" s="132">
        <v>1302.2</v>
      </c>
      <c r="FA13" s="133">
        <v>1172.8</v>
      </c>
      <c r="FB13" s="131">
        <v>1048.3</v>
      </c>
      <c r="FC13" s="131" t="s">
        <v>210</v>
      </c>
      <c r="FD13" s="132">
        <v>1064.8</v>
      </c>
      <c r="FE13" s="131">
        <v>927.9</v>
      </c>
      <c r="FF13" s="131">
        <v>951.97</v>
      </c>
      <c r="FG13" s="131">
        <v>921.3900000000001</v>
      </c>
      <c r="FH13" s="132">
        <v>1124</v>
      </c>
      <c r="FI13" s="133">
        <f>1000.1+225.694</f>
        <v>1225.7940000000001</v>
      </c>
      <c r="FJ13" s="131">
        <f>1210.2+244.98</f>
        <v>1455.18</v>
      </c>
      <c r="FK13" s="131">
        <f>1511+234.125</f>
        <v>1745.125</v>
      </c>
      <c r="FL13" s="132">
        <f>1416.7+220.44</f>
        <v>1637.14</v>
      </c>
      <c r="FM13" s="133">
        <v>1848.3</v>
      </c>
      <c r="FN13" s="131">
        <v>2272.2688225066008</v>
      </c>
      <c r="FO13" s="131">
        <v>2545.207472095</v>
      </c>
      <c r="FP13" s="132">
        <v>2673.73</v>
      </c>
      <c r="FQ13" s="133">
        <v>2215.58</v>
      </c>
      <c r="FR13" s="131">
        <v>2389.9349999999999</v>
      </c>
      <c r="FS13" s="131">
        <v>2487.36</v>
      </c>
      <c r="FT13" s="132">
        <v>2680.8</v>
      </c>
      <c r="FU13" s="133">
        <v>2976.87</v>
      </c>
      <c r="FV13" s="131">
        <v>2946</v>
      </c>
      <c r="FW13" s="131">
        <v>3284.1699999999983</v>
      </c>
      <c r="FX13" s="132">
        <v>3515.19</v>
      </c>
      <c r="FY13" s="133">
        <v>3691.2000000000007</v>
      </c>
      <c r="FZ13" s="131">
        <v>3781.0399999999995</v>
      </c>
      <c r="GA13" s="131"/>
      <c r="GB13" s="132"/>
      <c r="GC13" s="133"/>
      <c r="GD13" s="131"/>
      <c r="GE13" s="131"/>
      <c r="GF13" s="132"/>
      <c r="GG13" s="131"/>
    </row>
    <row r="14" spans="1:193" ht="16">
      <c r="A14" s="119" t="s">
        <v>211</v>
      </c>
      <c r="B14" s="127" t="s">
        <v>212</v>
      </c>
      <c r="C14" s="128" t="s">
        <v>213</v>
      </c>
      <c r="D14" s="129"/>
      <c r="E14" s="130"/>
      <c r="F14" s="131"/>
      <c r="G14" s="131"/>
      <c r="H14" s="132"/>
      <c r="I14" s="133"/>
      <c r="J14" s="131"/>
      <c r="K14" s="131"/>
      <c r="L14" s="132"/>
      <c r="M14" s="133"/>
      <c r="N14" s="131"/>
      <c r="O14" s="131"/>
      <c r="P14" s="132"/>
      <c r="Q14" s="133"/>
      <c r="R14" s="131"/>
      <c r="S14" s="131"/>
      <c r="T14" s="132"/>
      <c r="U14" s="133"/>
      <c r="V14" s="131"/>
      <c r="W14" s="131"/>
      <c r="X14" s="132"/>
      <c r="Y14" s="133"/>
      <c r="Z14" s="131"/>
      <c r="AA14" s="131"/>
      <c r="AB14" s="132"/>
      <c r="AC14" s="133"/>
      <c r="AD14" s="131"/>
      <c r="AE14" s="131"/>
      <c r="AF14" s="132"/>
      <c r="AG14" s="133"/>
      <c r="AH14" s="131"/>
      <c r="AI14" s="131"/>
      <c r="AJ14" s="132"/>
      <c r="AK14" s="133"/>
      <c r="AL14" s="131"/>
      <c r="AM14" s="131"/>
      <c r="AN14" s="132"/>
      <c r="AO14" s="133"/>
      <c r="AP14" s="131"/>
      <c r="AQ14" s="131"/>
      <c r="AR14" s="132"/>
      <c r="AS14" s="133"/>
      <c r="AT14" s="131"/>
      <c r="AU14" s="131"/>
      <c r="AV14" s="132"/>
      <c r="AW14" s="133"/>
      <c r="AX14" s="131"/>
      <c r="AY14" s="131"/>
      <c r="AZ14" s="132"/>
      <c r="BA14" s="133"/>
      <c r="BB14" s="131"/>
      <c r="BC14" s="131"/>
      <c r="BD14" s="132"/>
      <c r="BE14" s="133"/>
      <c r="BF14" s="131"/>
      <c r="BG14" s="131"/>
      <c r="BH14" s="132"/>
      <c r="BI14" s="133"/>
      <c r="BJ14" s="131"/>
      <c r="BK14" s="131"/>
      <c r="BL14" s="132"/>
      <c r="BM14" s="133"/>
      <c r="BN14" s="131"/>
      <c r="BO14" s="131"/>
      <c r="BP14" s="132"/>
      <c r="BQ14" s="133"/>
      <c r="BR14" s="131"/>
      <c r="BS14" s="131"/>
      <c r="BT14" s="132"/>
      <c r="BU14" s="133"/>
      <c r="BV14" s="131"/>
      <c r="BW14" s="131"/>
      <c r="BX14" s="132"/>
      <c r="BY14" s="133"/>
      <c r="BZ14" s="131"/>
      <c r="CA14" s="131"/>
      <c r="CB14" s="132"/>
      <c r="CC14" s="133"/>
      <c r="CD14" s="131"/>
      <c r="CE14" s="131"/>
      <c r="CF14" s="132"/>
      <c r="CG14" s="133"/>
      <c r="CH14" s="131"/>
      <c r="CI14" s="131"/>
      <c r="CJ14" s="132"/>
      <c r="CK14" s="133"/>
      <c r="CL14" s="131"/>
      <c r="CM14" s="131"/>
      <c r="CN14" s="132"/>
      <c r="CO14" s="133"/>
      <c r="CP14" s="131"/>
      <c r="CQ14" s="131"/>
      <c r="CR14" s="132"/>
      <c r="CS14" s="133"/>
      <c r="CT14" s="131"/>
      <c r="CU14" s="131"/>
      <c r="CV14" s="132"/>
      <c r="CW14" s="133"/>
      <c r="CX14" s="131"/>
      <c r="CY14" s="131"/>
      <c r="CZ14" s="132"/>
      <c r="DA14" s="133"/>
      <c r="DB14" s="131"/>
      <c r="DC14" s="131"/>
      <c r="DD14" s="132"/>
      <c r="DE14" s="133"/>
      <c r="DF14" s="131"/>
      <c r="DG14" s="131"/>
      <c r="DH14" s="132"/>
      <c r="DI14" s="133"/>
      <c r="DJ14" s="131"/>
      <c r="DK14" s="131"/>
      <c r="DL14" s="132"/>
      <c r="DM14" s="133"/>
      <c r="DN14" s="131"/>
      <c r="DO14" s="131"/>
      <c r="DP14" s="132"/>
      <c r="DQ14" s="133"/>
      <c r="DR14" s="131"/>
      <c r="DS14" s="131"/>
      <c r="DT14" s="132"/>
      <c r="DU14" s="133"/>
      <c r="DV14" s="131"/>
      <c r="DW14" s="131"/>
      <c r="DX14" s="132"/>
      <c r="DY14" s="133"/>
      <c r="DZ14" s="131"/>
      <c r="EA14" s="131"/>
      <c r="EB14" s="132"/>
      <c r="EC14" s="134">
        <v>2063.65</v>
      </c>
      <c r="ED14" s="135">
        <v>2043.5</v>
      </c>
      <c r="EE14" s="135">
        <v>2162.58</v>
      </c>
      <c r="EF14" s="136">
        <v>2277.5300000000002</v>
      </c>
      <c r="EG14" s="133">
        <v>2299.7427885933921</v>
      </c>
      <c r="EH14" s="131">
        <v>2308.6</v>
      </c>
      <c r="EI14" s="131">
        <v>2318.1999999999998</v>
      </c>
      <c r="EJ14" s="132">
        <v>2367.6799999999998</v>
      </c>
      <c r="EK14" s="133">
        <v>2473.37</v>
      </c>
      <c r="EL14" s="131">
        <v>2482.6</v>
      </c>
      <c r="EM14" s="131">
        <v>2740.2</v>
      </c>
      <c r="EN14" s="132">
        <v>3047.4100000000003</v>
      </c>
      <c r="EO14" s="133">
        <v>3135</v>
      </c>
      <c r="EP14" s="131">
        <v>3141.9</v>
      </c>
      <c r="EQ14" s="131">
        <v>3125</v>
      </c>
      <c r="ER14" s="132">
        <v>3317.9</v>
      </c>
      <c r="ES14" s="133">
        <v>3395.5</v>
      </c>
      <c r="ET14" s="131">
        <v>3479.6</v>
      </c>
      <c r="EU14" s="131">
        <v>3542.3</v>
      </c>
      <c r="EV14" s="132">
        <v>3825.2</v>
      </c>
      <c r="EW14" s="133">
        <v>3770</v>
      </c>
      <c r="EX14" s="131">
        <v>4476.2</v>
      </c>
      <c r="EY14" s="131">
        <v>4515.6000000000004</v>
      </c>
      <c r="EZ14" s="132">
        <v>4546.3</v>
      </c>
      <c r="FA14" s="133">
        <v>5852.3</v>
      </c>
      <c r="FB14" s="131">
        <v>5981.6</v>
      </c>
      <c r="FC14" s="131" t="s">
        <v>214</v>
      </c>
      <c r="FD14" s="132">
        <v>6115.5</v>
      </c>
      <c r="FE14" s="131">
        <v>6456.4000000000005</v>
      </c>
      <c r="FF14" s="131">
        <v>6451.53</v>
      </c>
      <c r="FG14" s="131">
        <v>6653.41</v>
      </c>
      <c r="FH14" s="132">
        <v>6701</v>
      </c>
      <c r="FI14" s="133">
        <f>7048.74-225.694</f>
        <v>6823.0459999999994</v>
      </c>
      <c r="FJ14" s="131">
        <v>7043.5259999999998</v>
      </c>
      <c r="FK14" s="131">
        <v>7230.8530000000001</v>
      </c>
      <c r="FL14" s="132">
        <v>7267.7199999999993</v>
      </c>
      <c r="FM14" s="133">
        <v>7224</v>
      </c>
      <c r="FN14" s="131">
        <v>7454.6402643559595</v>
      </c>
      <c r="FO14" s="131">
        <v>7432.1353420660962</v>
      </c>
      <c r="FP14" s="132">
        <v>7623.31</v>
      </c>
      <c r="FQ14" s="133">
        <v>8465.1</v>
      </c>
      <c r="FR14" s="131">
        <v>8935.7199999999993</v>
      </c>
      <c r="FS14" s="131">
        <v>8967</v>
      </c>
      <c r="FT14" s="132">
        <v>9102</v>
      </c>
      <c r="FU14" s="133">
        <v>9654</v>
      </c>
      <c r="FV14" s="131">
        <v>10385.799999999999</v>
      </c>
      <c r="FW14" s="131">
        <v>10467.630000000001</v>
      </c>
      <c r="FX14" s="132">
        <v>10339.01</v>
      </c>
      <c r="FY14" s="133">
        <v>10564</v>
      </c>
      <c r="FZ14" s="131">
        <v>11210.8</v>
      </c>
      <c r="GA14" s="131"/>
      <c r="GB14" s="132"/>
      <c r="GC14" s="133"/>
      <c r="GD14" s="131"/>
      <c r="GE14" s="131"/>
      <c r="GF14" s="132"/>
      <c r="GG14" s="131"/>
    </row>
    <row r="15" spans="1:193" ht="24" customHeight="1">
      <c r="A15" s="137"/>
      <c r="B15" s="113"/>
      <c r="C15" s="113" t="s">
        <v>215</v>
      </c>
      <c r="D15" s="114"/>
      <c r="E15" s="138"/>
      <c r="F15" s="139"/>
      <c r="G15" s="139"/>
      <c r="H15" s="117"/>
      <c r="I15" s="140"/>
      <c r="J15" s="139"/>
      <c r="K15" s="139"/>
      <c r="L15" s="117"/>
      <c r="M15" s="140"/>
      <c r="N15" s="139"/>
      <c r="O15" s="139"/>
      <c r="P15" s="117"/>
      <c r="Q15" s="140"/>
      <c r="R15" s="139"/>
      <c r="S15" s="139"/>
      <c r="T15" s="117"/>
      <c r="U15" s="140"/>
      <c r="V15" s="139"/>
      <c r="W15" s="139"/>
      <c r="X15" s="117"/>
      <c r="Y15" s="140"/>
      <c r="Z15" s="139"/>
      <c r="AA15" s="139"/>
      <c r="AB15" s="117"/>
      <c r="AC15" s="140"/>
      <c r="AD15" s="139"/>
      <c r="AE15" s="139"/>
      <c r="AF15" s="117"/>
      <c r="AG15" s="140"/>
      <c r="AH15" s="139"/>
      <c r="AI15" s="139"/>
      <c r="AJ15" s="117"/>
      <c r="AK15" s="140"/>
      <c r="AL15" s="139"/>
      <c r="AM15" s="139"/>
      <c r="AN15" s="117"/>
      <c r="AO15" s="140"/>
      <c r="AP15" s="139"/>
      <c r="AQ15" s="139"/>
      <c r="AR15" s="117"/>
      <c r="AS15" s="140"/>
      <c r="AT15" s="139"/>
      <c r="AU15" s="139"/>
      <c r="AV15" s="117"/>
      <c r="AW15" s="140"/>
      <c r="AX15" s="139"/>
      <c r="AY15" s="139"/>
      <c r="AZ15" s="117"/>
      <c r="BA15" s="140"/>
      <c r="BB15" s="139"/>
      <c r="BC15" s="139"/>
      <c r="BD15" s="117"/>
      <c r="BE15" s="140"/>
      <c r="BF15" s="139"/>
      <c r="BG15" s="139"/>
      <c r="BH15" s="117"/>
      <c r="BI15" s="140"/>
      <c r="BJ15" s="139"/>
      <c r="BK15" s="139"/>
      <c r="BL15" s="117"/>
      <c r="BM15" s="140"/>
      <c r="BN15" s="139"/>
      <c r="BO15" s="139"/>
      <c r="BP15" s="117"/>
      <c r="BQ15" s="140"/>
      <c r="BR15" s="139"/>
      <c r="BS15" s="139"/>
      <c r="BT15" s="117"/>
      <c r="BU15" s="140"/>
      <c r="BV15" s="139"/>
      <c r="BW15" s="139"/>
      <c r="BX15" s="117"/>
      <c r="BY15" s="140"/>
      <c r="BZ15" s="139"/>
      <c r="CA15" s="139"/>
      <c r="CB15" s="117"/>
      <c r="CC15" s="140"/>
      <c r="CD15" s="139"/>
      <c r="CE15" s="139"/>
      <c r="CF15" s="117"/>
      <c r="CG15" s="140"/>
      <c r="CH15" s="139"/>
      <c r="CI15" s="139"/>
      <c r="CJ15" s="117"/>
      <c r="CK15" s="140"/>
      <c r="CL15" s="139"/>
      <c r="CM15" s="139"/>
      <c r="CN15" s="117"/>
      <c r="CO15" s="140"/>
      <c r="CP15" s="139"/>
      <c r="CQ15" s="139"/>
      <c r="CR15" s="117"/>
      <c r="CS15" s="140"/>
      <c r="CT15" s="139"/>
      <c r="CU15" s="139"/>
      <c r="CV15" s="117"/>
      <c r="CW15" s="140"/>
      <c r="CX15" s="139"/>
      <c r="CY15" s="139"/>
      <c r="CZ15" s="117"/>
      <c r="DA15" s="140"/>
      <c r="DB15" s="139"/>
      <c r="DC15" s="139"/>
      <c r="DD15" s="117"/>
      <c r="DE15" s="140"/>
      <c r="DF15" s="139"/>
      <c r="DG15" s="139"/>
      <c r="DH15" s="117"/>
      <c r="DI15" s="140"/>
      <c r="DJ15" s="139"/>
      <c r="DK15" s="139"/>
      <c r="DL15" s="117"/>
      <c r="DM15" s="140"/>
      <c r="DN15" s="139"/>
      <c r="DO15" s="139"/>
      <c r="DP15" s="117"/>
      <c r="DQ15" s="140"/>
      <c r="DR15" s="139"/>
      <c r="DS15" s="139"/>
      <c r="DT15" s="117"/>
      <c r="DU15" s="140"/>
      <c r="DV15" s="139"/>
      <c r="DW15" s="139"/>
      <c r="DX15" s="117"/>
      <c r="DY15" s="140"/>
      <c r="DZ15" s="139"/>
      <c r="EA15" s="139"/>
      <c r="EB15" s="117"/>
      <c r="EC15" s="140"/>
      <c r="ED15" s="139"/>
      <c r="EE15" s="139"/>
      <c r="EF15" s="117"/>
      <c r="EG15" s="140"/>
      <c r="EH15" s="139"/>
      <c r="EI15" s="139"/>
      <c r="EJ15" s="117"/>
      <c r="EK15" s="140"/>
      <c r="EL15" s="139"/>
      <c r="EM15" s="139"/>
      <c r="EN15" s="117"/>
      <c r="EO15" s="140"/>
      <c r="EP15" s="139"/>
      <c r="EQ15" s="139"/>
      <c r="ER15" s="117"/>
      <c r="ES15" s="140"/>
      <c r="ET15" s="139"/>
      <c r="EU15" s="139"/>
      <c r="EV15" s="117"/>
      <c r="EW15" s="140"/>
      <c r="EX15" s="139"/>
      <c r="EY15" s="139"/>
      <c r="EZ15" s="117"/>
      <c r="FA15" s="140"/>
      <c r="FB15" s="139"/>
      <c r="FC15" s="139"/>
      <c r="FD15" s="117"/>
      <c r="FE15" s="139"/>
      <c r="FF15" s="139"/>
      <c r="FG15" s="139"/>
      <c r="FH15" s="117"/>
      <c r="FI15" s="140"/>
      <c r="FJ15" s="139"/>
      <c r="FK15" s="139"/>
      <c r="FL15" s="117"/>
      <c r="FM15" s="140"/>
      <c r="FN15" s="139"/>
      <c r="FO15" s="139"/>
      <c r="FP15" s="117"/>
      <c r="FQ15" s="140"/>
      <c r="FR15" s="139"/>
      <c r="FS15" s="139"/>
      <c r="FT15" s="117"/>
      <c r="FU15" s="140"/>
      <c r="FV15" s="139"/>
      <c r="FW15" s="139"/>
      <c r="FX15" s="117"/>
      <c r="FY15" s="140"/>
      <c r="FZ15" s="139"/>
      <c r="GA15" s="139"/>
      <c r="GB15" s="117"/>
      <c r="GC15" s="140"/>
      <c r="GD15" s="139"/>
      <c r="GE15" s="139"/>
      <c r="GF15" s="117"/>
      <c r="GG15" s="139"/>
    </row>
    <row r="16" spans="1:193" ht="16">
      <c r="A16" s="119" t="s">
        <v>216</v>
      </c>
      <c r="B16" s="141" t="s">
        <v>217</v>
      </c>
      <c r="C16" s="120" t="s">
        <v>218</v>
      </c>
      <c r="D16" s="121"/>
      <c r="E16" s="122">
        <v>0</v>
      </c>
      <c r="F16" s="123">
        <v>0</v>
      </c>
      <c r="G16" s="123">
        <v>0</v>
      </c>
      <c r="H16" s="124">
        <v>0</v>
      </c>
      <c r="I16" s="125">
        <v>0</v>
      </c>
      <c r="J16" s="123">
        <v>0</v>
      </c>
      <c r="K16" s="123">
        <v>0</v>
      </c>
      <c r="L16" s="124">
        <v>0</v>
      </c>
      <c r="M16" s="125">
        <v>0</v>
      </c>
      <c r="N16" s="123">
        <v>0</v>
      </c>
      <c r="O16" s="123">
        <v>0</v>
      </c>
      <c r="P16" s="124">
        <v>0</v>
      </c>
      <c r="Q16" s="125">
        <v>0</v>
      </c>
      <c r="R16" s="123">
        <v>0</v>
      </c>
      <c r="S16" s="123">
        <v>0</v>
      </c>
      <c r="T16" s="124">
        <v>0</v>
      </c>
      <c r="U16" s="125">
        <v>0</v>
      </c>
      <c r="V16" s="123">
        <v>0</v>
      </c>
      <c r="W16" s="123">
        <v>0</v>
      </c>
      <c r="X16" s="124">
        <v>0</v>
      </c>
      <c r="Y16" s="125">
        <v>0</v>
      </c>
      <c r="Z16" s="123">
        <v>0</v>
      </c>
      <c r="AA16" s="123">
        <v>0</v>
      </c>
      <c r="AB16" s="124">
        <v>0</v>
      </c>
      <c r="AC16" s="125">
        <v>0</v>
      </c>
      <c r="AD16" s="123">
        <v>0</v>
      </c>
      <c r="AE16" s="123">
        <v>0</v>
      </c>
      <c r="AF16" s="124">
        <v>0</v>
      </c>
      <c r="AG16" s="125">
        <v>0</v>
      </c>
      <c r="AH16" s="123">
        <v>0</v>
      </c>
      <c r="AI16" s="123">
        <v>0</v>
      </c>
      <c r="AJ16" s="124">
        <v>0</v>
      </c>
      <c r="AK16" s="125">
        <v>0</v>
      </c>
      <c r="AL16" s="123">
        <v>0</v>
      </c>
      <c r="AM16" s="123">
        <v>0</v>
      </c>
      <c r="AN16" s="124">
        <v>0</v>
      </c>
      <c r="AO16" s="125">
        <v>0</v>
      </c>
      <c r="AP16" s="123">
        <v>0</v>
      </c>
      <c r="AQ16" s="123">
        <v>0</v>
      </c>
      <c r="AR16" s="124">
        <v>0</v>
      </c>
      <c r="AS16" s="125">
        <v>0</v>
      </c>
      <c r="AT16" s="123">
        <v>0</v>
      </c>
      <c r="AU16" s="123">
        <v>0</v>
      </c>
      <c r="AV16" s="124">
        <v>0</v>
      </c>
      <c r="AW16" s="125">
        <v>0</v>
      </c>
      <c r="AX16" s="123">
        <v>0</v>
      </c>
      <c r="AY16" s="123">
        <v>0</v>
      </c>
      <c r="AZ16" s="124">
        <v>0</v>
      </c>
      <c r="BA16" s="125">
        <v>0</v>
      </c>
      <c r="BB16" s="123">
        <v>0</v>
      </c>
      <c r="BC16" s="123">
        <v>0</v>
      </c>
      <c r="BD16" s="124">
        <v>0</v>
      </c>
      <c r="BE16" s="125">
        <v>0</v>
      </c>
      <c r="BF16" s="123">
        <v>0</v>
      </c>
      <c r="BG16" s="123">
        <v>0</v>
      </c>
      <c r="BH16" s="124">
        <v>0</v>
      </c>
      <c r="BI16" s="125">
        <v>0</v>
      </c>
      <c r="BJ16" s="123">
        <v>0</v>
      </c>
      <c r="BK16" s="123">
        <v>0</v>
      </c>
      <c r="BL16" s="124">
        <v>0</v>
      </c>
      <c r="BM16" s="125">
        <v>0</v>
      </c>
      <c r="BN16" s="123">
        <v>0</v>
      </c>
      <c r="BO16" s="123">
        <v>0</v>
      </c>
      <c r="BP16" s="124">
        <v>0</v>
      </c>
      <c r="BQ16" s="125">
        <v>0</v>
      </c>
      <c r="BR16" s="123">
        <v>0</v>
      </c>
      <c r="BS16" s="123">
        <v>0</v>
      </c>
      <c r="BT16" s="124">
        <v>0</v>
      </c>
      <c r="BU16" s="125">
        <v>0</v>
      </c>
      <c r="BV16" s="123">
        <v>0</v>
      </c>
      <c r="BW16" s="123">
        <v>0</v>
      </c>
      <c r="BX16" s="124">
        <v>0</v>
      </c>
      <c r="BY16" s="125">
        <v>0</v>
      </c>
      <c r="BZ16" s="123">
        <v>0</v>
      </c>
      <c r="CA16" s="123">
        <v>0</v>
      </c>
      <c r="CB16" s="124">
        <v>0</v>
      </c>
      <c r="CC16" s="125">
        <v>0</v>
      </c>
      <c r="CD16" s="123">
        <v>0</v>
      </c>
      <c r="CE16" s="123">
        <v>0</v>
      </c>
      <c r="CF16" s="124">
        <v>0</v>
      </c>
      <c r="CG16" s="125">
        <v>0</v>
      </c>
      <c r="CH16" s="123">
        <v>0</v>
      </c>
      <c r="CI16" s="123">
        <v>0</v>
      </c>
      <c r="CJ16" s="124">
        <v>0</v>
      </c>
      <c r="CK16" s="125">
        <v>0</v>
      </c>
      <c r="CL16" s="123">
        <v>0</v>
      </c>
      <c r="CM16" s="123">
        <v>0</v>
      </c>
      <c r="CN16" s="124">
        <v>0</v>
      </c>
      <c r="CO16" s="125">
        <v>0</v>
      </c>
      <c r="CP16" s="123">
        <v>0</v>
      </c>
      <c r="CQ16" s="123">
        <v>0</v>
      </c>
      <c r="CR16" s="124">
        <v>0</v>
      </c>
      <c r="CS16" s="125">
        <v>0</v>
      </c>
      <c r="CT16" s="123">
        <v>0</v>
      </c>
      <c r="CU16" s="123">
        <v>0</v>
      </c>
      <c r="CV16" s="124">
        <v>0</v>
      </c>
      <c r="CW16" s="125">
        <v>0</v>
      </c>
      <c r="CX16" s="123">
        <v>0</v>
      </c>
      <c r="CY16" s="123">
        <v>0</v>
      </c>
      <c r="CZ16" s="124">
        <v>0</v>
      </c>
      <c r="DA16" s="125">
        <v>0</v>
      </c>
      <c r="DB16" s="123">
        <v>0</v>
      </c>
      <c r="DC16" s="123">
        <v>0</v>
      </c>
      <c r="DD16" s="124">
        <v>0</v>
      </c>
      <c r="DE16" s="125">
        <v>0</v>
      </c>
      <c r="DF16" s="123">
        <v>0</v>
      </c>
      <c r="DG16" s="123">
        <v>0</v>
      </c>
      <c r="DH16" s="124">
        <v>0</v>
      </c>
      <c r="DI16" s="125">
        <v>0</v>
      </c>
      <c r="DJ16" s="123">
        <v>0</v>
      </c>
      <c r="DK16" s="123">
        <v>0</v>
      </c>
      <c r="DL16" s="124">
        <v>0</v>
      </c>
      <c r="DM16" s="125">
        <v>0</v>
      </c>
      <c r="DN16" s="123">
        <v>0</v>
      </c>
      <c r="DO16" s="123">
        <v>0</v>
      </c>
      <c r="DP16" s="124">
        <v>0</v>
      </c>
      <c r="DQ16" s="125">
        <v>0</v>
      </c>
      <c r="DR16" s="123">
        <v>0</v>
      </c>
      <c r="DS16" s="123">
        <v>0</v>
      </c>
      <c r="DT16" s="124">
        <v>0</v>
      </c>
      <c r="DU16" s="125">
        <v>0</v>
      </c>
      <c r="DV16" s="123">
        <v>0</v>
      </c>
      <c r="DW16" s="123">
        <v>0</v>
      </c>
      <c r="DX16" s="124">
        <v>0</v>
      </c>
      <c r="DY16" s="125">
        <v>0</v>
      </c>
      <c r="DZ16" s="123">
        <v>0</v>
      </c>
      <c r="EA16" s="123">
        <v>0</v>
      </c>
      <c r="EB16" s="124">
        <v>0</v>
      </c>
      <c r="EC16" s="125">
        <v>0</v>
      </c>
      <c r="ED16" s="123">
        <v>0</v>
      </c>
      <c r="EE16" s="123">
        <v>0</v>
      </c>
      <c r="EF16" s="124">
        <v>0</v>
      </c>
      <c r="EG16" s="125">
        <v>0</v>
      </c>
      <c r="EH16" s="123">
        <v>0</v>
      </c>
      <c r="EI16" s="123">
        <v>0</v>
      </c>
      <c r="EJ16" s="124">
        <v>0</v>
      </c>
      <c r="EK16" s="125">
        <v>0</v>
      </c>
      <c r="EL16" s="123">
        <v>0</v>
      </c>
      <c r="EM16" s="123">
        <v>0</v>
      </c>
      <c r="EN16" s="124">
        <v>0</v>
      </c>
      <c r="EO16" s="125">
        <v>0</v>
      </c>
      <c r="EP16" s="123">
        <v>0</v>
      </c>
      <c r="EQ16" s="123">
        <v>0</v>
      </c>
      <c r="ER16" s="124">
        <v>0</v>
      </c>
      <c r="ES16" s="125">
        <v>0</v>
      </c>
      <c r="ET16" s="123">
        <v>0</v>
      </c>
      <c r="EU16" s="123">
        <v>0</v>
      </c>
      <c r="EV16" s="124">
        <v>0</v>
      </c>
      <c r="EW16" s="125">
        <v>0</v>
      </c>
      <c r="EX16" s="123">
        <v>0</v>
      </c>
      <c r="EY16" s="123">
        <v>0</v>
      </c>
      <c r="EZ16" s="124">
        <v>0</v>
      </c>
      <c r="FA16" s="125">
        <v>0</v>
      </c>
      <c r="FB16" s="123">
        <v>0</v>
      </c>
      <c r="FC16" s="123">
        <v>0</v>
      </c>
      <c r="FD16" s="124">
        <v>0</v>
      </c>
      <c r="FE16" s="123">
        <v>0</v>
      </c>
      <c r="FF16" s="123">
        <v>0</v>
      </c>
      <c r="FG16" s="123">
        <v>0</v>
      </c>
      <c r="FH16" s="124">
        <v>0</v>
      </c>
      <c r="FI16" s="125">
        <v>0</v>
      </c>
      <c r="FJ16" s="123">
        <v>0</v>
      </c>
      <c r="FK16" s="123">
        <v>0</v>
      </c>
      <c r="FL16" s="124">
        <v>0</v>
      </c>
      <c r="FM16" s="125">
        <f>+FM17+FM18+FM19+FM22+FM26+FM27</f>
        <v>9072.2999999999993</v>
      </c>
      <c r="FN16" s="125">
        <f t="shared" ref="FN16:FT16" si="40">+FN17+FN18+FN19+FN22+FN26+FN27</f>
        <v>9726.9090868625644</v>
      </c>
      <c r="FO16" s="125">
        <f t="shared" si="40"/>
        <v>9766.25</v>
      </c>
      <c r="FP16" s="125">
        <f t="shared" si="40"/>
        <v>9760.6960263958899</v>
      </c>
      <c r="FQ16" s="125">
        <f t="shared" si="40"/>
        <v>10814.83</v>
      </c>
      <c r="FR16" s="125">
        <f t="shared" si="40"/>
        <v>11315.219000000001</v>
      </c>
      <c r="FS16" s="125">
        <f t="shared" si="40"/>
        <v>11454.289999999999</v>
      </c>
      <c r="FT16" s="125">
        <f t="shared" si="40"/>
        <v>11782.73</v>
      </c>
      <c r="FU16" s="125">
        <v>12631.307999999999</v>
      </c>
      <c r="FV16" s="125">
        <v>13331.828</v>
      </c>
      <c r="FW16" s="125">
        <v>13751.781000000003</v>
      </c>
      <c r="FX16" s="125">
        <v>13854.25</v>
      </c>
      <c r="FY16" s="125">
        <v>14254.901000000002</v>
      </c>
      <c r="FZ16" s="123">
        <v>14991.800000000001</v>
      </c>
      <c r="GA16" s="123">
        <v>0</v>
      </c>
      <c r="GB16" s="124">
        <v>0</v>
      </c>
      <c r="GC16" s="125">
        <v>0</v>
      </c>
      <c r="GD16" s="123">
        <v>0</v>
      </c>
      <c r="GE16" s="123">
        <v>0</v>
      </c>
      <c r="GF16" s="124">
        <v>0</v>
      </c>
      <c r="GG16" s="123"/>
    </row>
    <row r="17" spans="1:189" ht="16">
      <c r="A17" s="119" t="s">
        <v>219</v>
      </c>
      <c r="B17" s="142" t="s">
        <v>220</v>
      </c>
      <c r="C17" s="143" t="s">
        <v>221</v>
      </c>
      <c r="D17" s="144"/>
      <c r="E17" s="145"/>
      <c r="F17" s="146"/>
      <c r="G17" s="146"/>
      <c r="H17" s="147"/>
      <c r="I17" s="148"/>
      <c r="J17" s="146"/>
      <c r="K17" s="146"/>
      <c r="L17" s="147"/>
      <c r="M17" s="148"/>
      <c r="N17" s="146"/>
      <c r="O17" s="146"/>
      <c r="P17" s="147"/>
      <c r="Q17" s="148"/>
      <c r="R17" s="146"/>
      <c r="S17" s="146"/>
      <c r="T17" s="147"/>
      <c r="U17" s="148"/>
      <c r="V17" s="146"/>
      <c r="W17" s="146"/>
      <c r="X17" s="147"/>
      <c r="Y17" s="148"/>
      <c r="Z17" s="146"/>
      <c r="AA17" s="146"/>
      <c r="AB17" s="147"/>
      <c r="AC17" s="148"/>
      <c r="AD17" s="146"/>
      <c r="AE17" s="146"/>
      <c r="AF17" s="147"/>
      <c r="AG17" s="148"/>
      <c r="AH17" s="146"/>
      <c r="AI17" s="146"/>
      <c r="AJ17" s="147"/>
      <c r="AK17" s="148"/>
      <c r="AL17" s="146"/>
      <c r="AM17" s="146"/>
      <c r="AN17" s="147"/>
      <c r="AO17" s="148"/>
      <c r="AP17" s="146"/>
      <c r="AQ17" s="146"/>
      <c r="AR17" s="147"/>
      <c r="AS17" s="148"/>
      <c r="AT17" s="146"/>
      <c r="AU17" s="146"/>
      <c r="AV17" s="147"/>
      <c r="AW17" s="148"/>
      <c r="AX17" s="146"/>
      <c r="AY17" s="146"/>
      <c r="AZ17" s="147"/>
      <c r="BA17" s="148"/>
      <c r="BB17" s="146"/>
      <c r="BC17" s="146"/>
      <c r="BD17" s="147"/>
      <c r="BE17" s="148"/>
      <c r="BF17" s="146"/>
      <c r="BG17" s="146"/>
      <c r="BH17" s="147"/>
      <c r="BI17" s="148"/>
      <c r="BJ17" s="146"/>
      <c r="BK17" s="146"/>
      <c r="BL17" s="147"/>
      <c r="BM17" s="148"/>
      <c r="BN17" s="146"/>
      <c r="BO17" s="146"/>
      <c r="BP17" s="147"/>
      <c r="BQ17" s="148"/>
      <c r="BR17" s="146"/>
      <c r="BS17" s="146"/>
      <c r="BT17" s="147"/>
      <c r="BU17" s="148"/>
      <c r="BV17" s="146"/>
      <c r="BW17" s="146"/>
      <c r="BX17" s="147"/>
      <c r="BY17" s="148"/>
      <c r="BZ17" s="146"/>
      <c r="CA17" s="146"/>
      <c r="CB17" s="147"/>
      <c r="CC17" s="148"/>
      <c r="CD17" s="146"/>
      <c r="CE17" s="146"/>
      <c r="CF17" s="147"/>
      <c r="CG17" s="148"/>
      <c r="CH17" s="146"/>
      <c r="CI17" s="146"/>
      <c r="CJ17" s="147"/>
      <c r="CK17" s="148"/>
      <c r="CL17" s="146"/>
      <c r="CM17" s="146"/>
      <c r="CN17" s="147"/>
      <c r="CO17" s="148"/>
      <c r="CP17" s="146"/>
      <c r="CQ17" s="146"/>
      <c r="CR17" s="147"/>
      <c r="CS17" s="148"/>
      <c r="CT17" s="146"/>
      <c r="CU17" s="146"/>
      <c r="CV17" s="147"/>
      <c r="CW17" s="148"/>
      <c r="CX17" s="146"/>
      <c r="CY17" s="146"/>
      <c r="CZ17" s="147"/>
      <c r="DA17" s="148"/>
      <c r="DB17" s="146"/>
      <c r="DC17" s="146"/>
      <c r="DD17" s="147"/>
      <c r="DE17" s="148"/>
      <c r="DF17" s="146"/>
      <c r="DG17" s="146"/>
      <c r="DH17" s="147"/>
      <c r="DI17" s="148"/>
      <c r="DJ17" s="146"/>
      <c r="DK17" s="146"/>
      <c r="DL17" s="147"/>
      <c r="DM17" s="148"/>
      <c r="DN17" s="146"/>
      <c r="DO17" s="146"/>
      <c r="DP17" s="147"/>
      <c r="DQ17" s="148"/>
      <c r="DR17" s="146"/>
      <c r="DS17" s="146"/>
      <c r="DT17" s="147"/>
      <c r="DU17" s="148"/>
      <c r="DV17" s="146"/>
      <c r="DW17" s="146"/>
      <c r="DX17" s="147"/>
      <c r="DY17" s="148"/>
      <c r="DZ17" s="146"/>
      <c r="EA17" s="146"/>
      <c r="EB17" s="147"/>
      <c r="EC17" s="148"/>
      <c r="ED17" s="146"/>
      <c r="EE17" s="146"/>
      <c r="EF17" s="147"/>
      <c r="EG17" s="148"/>
      <c r="EH17" s="146"/>
      <c r="EI17" s="146"/>
      <c r="EJ17" s="147"/>
      <c r="EK17" s="148"/>
      <c r="EL17" s="146"/>
      <c r="EM17" s="146"/>
      <c r="EN17" s="147"/>
      <c r="EO17" s="148"/>
      <c r="EP17" s="146"/>
      <c r="EQ17" s="146"/>
      <c r="ER17" s="147"/>
      <c r="ES17" s="148"/>
      <c r="ET17" s="146"/>
      <c r="EU17" s="146"/>
      <c r="EV17" s="147"/>
      <c r="EW17" s="148"/>
      <c r="EX17" s="146"/>
      <c r="EY17" s="146"/>
      <c r="EZ17" s="147"/>
      <c r="FA17" s="148"/>
      <c r="FB17" s="146"/>
      <c r="FC17" s="146"/>
      <c r="FD17" s="147"/>
      <c r="FE17" s="146"/>
      <c r="FF17" s="146"/>
      <c r="FG17" s="146"/>
      <c r="FH17" s="147"/>
      <c r="FI17" s="148"/>
      <c r="FJ17" s="146"/>
      <c r="FK17" s="146"/>
      <c r="FL17" s="147"/>
      <c r="FM17" s="148">
        <f>+FM37</f>
        <v>273.60000000000002</v>
      </c>
      <c r="FN17" s="148">
        <f t="shared" ref="FN17:FT17" si="41">+FN37</f>
        <v>374.15937480000002</v>
      </c>
      <c r="FO17" s="148">
        <f t="shared" si="41"/>
        <v>620.4</v>
      </c>
      <c r="FP17" s="148">
        <f t="shared" si="41"/>
        <v>620.4</v>
      </c>
      <c r="FQ17" s="148">
        <f t="shared" si="41"/>
        <v>725.1</v>
      </c>
      <c r="FR17" s="148">
        <f t="shared" si="41"/>
        <v>859.9</v>
      </c>
      <c r="FS17" s="148">
        <f t="shared" si="41"/>
        <v>859.9</v>
      </c>
      <c r="FT17" s="148">
        <f t="shared" si="41"/>
        <v>859.9</v>
      </c>
      <c r="FU17" s="148">
        <v>992.5</v>
      </c>
      <c r="FV17" s="148">
        <v>1122</v>
      </c>
      <c r="FW17" s="148">
        <v>1077.7</v>
      </c>
      <c r="FX17" s="148">
        <v>1246.7</v>
      </c>
      <c r="FY17" s="148">
        <v>1224.5</v>
      </c>
      <c r="FZ17" s="146">
        <v>1202.4000000000001</v>
      </c>
      <c r="GA17" s="146"/>
      <c r="GB17" s="147"/>
      <c r="GC17" s="148"/>
      <c r="GD17" s="146"/>
      <c r="GE17" s="146"/>
      <c r="GF17" s="147"/>
      <c r="GG17" s="146"/>
    </row>
    <row r="18" spans="1:189" ht="16">
      <c r="A18" s="119" t="s">
        <v>222</v>
      </c>
      <c r="B18" s="142" t="s">
        <v>223</v>
      </c>
      <c r="C18" s="143" t="s">
        <v>224</v>
      </c>
      <c r="D18" s="144"/>
      <c r="E18" s="149"/>
      <c r="F18" s="150"/>
      <c r="G18" s="150"/>
      <c r="H18" s="151"/>
      <c r="I18" s="152"/>
      <c r="J18" s="150"/>
      <c r="K18" s="150"/>
      <c r="L18" s="151"/>
      <c r="M18" s="152"/>
      <c r="N18" s="150"/>
      <c r="O18" s="150"/>
      <c r="P18" s="151"/>
      <c r="Q18" s="152"/>
      <c r="R18" s="150"/>
      <c r="S18" s="150"/>
      <c r="T18" s="151"/>
      <c r="U18" s="152"/>
      <c r="V18" s="150"/>
      <c r="W18" s="150"/>
      <c r="X18" s="151"/>
      <c r="Y18" s="152"/>
      <c r="Z18" s="150"/>
      <c r="AA18" s="150"/>
      <c r="AB18" s="151"/>
      <c r="AC18" s="152"/>
      <c r="AD18" s="150"/>
      <c r="AE18" s="150"/>
      <c r="AF18" s="151"/>
      <c r="AG18" s="152"/>
      <c r="AH18" s="150"/>
      <c r="AI18" s="150"/>
      <c r="AJ18" s="151"/>
      <c r="AK18" s="152"/>
      <c r="AL18" s="150"/>
      <c r="AM18" s="150"/>
      <c r="AN18" s="151"/>
      <c r="AO18" s="152"/>
      <c r="AP18" s="150"/>
      <c r="AQ18" s="150"/>
      <c r="AR18" s="151"/>
      <c r="AS18" s="152"/>
      <c r="AT18" s="150"/>
      <c r="AU18" s="150"/>
      <c r="AV18" s="151"/>
      <c r="AW18" s="152"/>
      <c r="AX18" s="150"/>
      <c r="AY18" s="150"/>
      <c r="AZ18" s="151"/>
      <c r="BA18" s="152"/>
      <c r="BB18" s="150"/>
      <c r="BC18" s="150"/>
      <c r="BD18" s="151"/>
      <c r="BE18" s="152"/>
      <c r="BF18" s="150"/>
      <c r="BG18" s="150"/>
      <c r="BH18" s="151"/>
      <c r="BI18" s="152"/>
      <c r="BJ18" s="150"/>
      <c r="BK18" s="150"/>
      <c r="BL18" s="151"/>
      <c r="BM18" s="152"/>
      <c r="BN18" s="150"/>
      <c r="BO18" s="150"/>
      <c r="BP18" s="151"/>
      <c r="BQ18" s="152"/>
      <c r="BR18" s="150"/>
      <c r="BS18" s="150"/>
      <c r="BT18" s="151"/>
      <c r="BU18" s="152"/>
      <c r="BV18" s="150"/>
      <c r="BW18" s="150"/>
      <c r="BX18" s="151"/>
      <c r="BY18" s="152"/>
      <c r="BZ18" s="150"/>
      <c r="CA18" s="150"/>
      <c r="CB18" s="151"/>
      <c r="CC18" s="152"/>
      <c r="CD18" s="150"/>
      <c r="CE18" s="150"/>
      <c r="CF18" s="151"/>
      <c r="CG18" s="152"/>
      <c r="CH18" s="150"/>
      <c r="CI18" s="150"/>
      <c r="CJ18" s="151"/>
      <c r="CK18" s="152"/>
      <c r="CL18" s="150"/>
      <c r="CM18" s="150"/>
      <c r="CN18" s="151"/>
      <c r="CO18" s="152"/>
      <c r="CP18" s="150"/>
      <c r="CQ18" s="150"/>
      <c r="CR18" s="151"/>
      <c r="CS18" s="152"/>
      <c r="CT18" s="150"/>
      <c r="CU18" s="150"/>
      <c r="CV18" s="151"/>
      <c r="CW18" s="152"/>
      <c r="CX18" s="150"/>
      <c r="CY18" s="150"/>
      <c r="CZ18" s="151"/>
      <c r="DA18" s="152"/>
      <c r="DB18" s="150"/>
      <c r="DC18" s="150"/>
      <c r="DD18" s="151"/>
      <c r="DE18" s="152"/>
      <c r="DF18" s="150"/>
      <c r="DG18" s="150"/>
      <c r="DH18" s="151"/>
      <c r="DI18" s="152"/>
      <c r="DJ18" s="150"/>
      <c r="DK18" s="150"/>
      <c r="DL18" s="151"/>
      <c r="DM18" s="152"/>
      <c r="DN18" s="150"/>
      <c r="DO18" s="150"/>
      <c r="DP18" s="151"/>
      <c r="DQ18" s="152"/>
      <c r="DR18" s="150"/>
      <c r="DS18" s="150"/>
      <c r="DT18" s="151"/>
      <c r="DU18" s="152"/>
      <c r="DV18" s="150"/>
      <c r="DW18" s="150"/>
      <c r="DX18" s="151"/>
      <c r="DY18" s="152"/>
      <c r="DZ18" s="150"/>
      <c r="EA18" s="150"/>
      <c r="EB18" s="151"/>
      <c r="EC18" s="152"/>
      <c r="ED18" s="150"/>
      <c r="EE18" s="150"/>
      <c r="EF18" s="151"/>
      <c r="EG18" s="152"/>
      <c r="EH18" s="150"/>
      <c r="EI18" s="150"/>
      <c r="EJ18" s="151"/>
      <c r="EK18" s="152"/>
      <c r="EL18" s="150"/>
      <c r="EM18" s="150"/>
      <c r="EN18" s="151"/>
      <c r="EO18" s="152"/>
      <c r="EP18" s="150"/>
      <c r="EQ18" s="150"/>
      <c r="ER18" s="151"/>
      <c r="ES18" s="152"/>
      <c r="ET18" s="150"/>
      <c r="EU18" s="150"/>
      <c r="EV18" s="151"/>
      <c r="EW18" s="152"/>
      <c r="EX18" s="150"/>
      <c r="EY18" s="150"/>
      <c r="EZ18" s="151"/>
      <c r="FA18" s="152"/>
      <c r="FB18" s="150"/>
      <c r="FC18" s="150"/>
      <c r="FD18" s="151"/>
      <c r="FE18" s="150"/>
      <c r="FF18" s="150"/>
      <c r="FG18" s="150"/>
      <c r="FH18" s="151"/>
      <c r="FI18" s="152"/>
      <c r="FJ18" s="150"/>
      <c r="FK18" s="150"/>
      <c r="FL18" s="151"/>
      <c r="FM18" s="152">
        <v>0</v>
      </c>
      <c r="FN18" s="152">
        <v>0</v>
      </c>
      <c r="FO18" s="152">
        <v>0</v>
      </c>
      <c r="FP18" s="152">
        <v>0</v>
      </c>
      <c r="FQ18" s="152">
        <v>0</v>
      </c>
      <c r="FR18" s="152">
        <v>0</v>
      </c>
      <c r="FS18" s="152">
        <v>0</v>
      </c>
      <c r="FT18" s="152">
        <v>0</v>
      </c>
      <c r="FU18" s="152">
        <v>0</v>
      </c>
      <c r="FV18" s="152">
        <v>0</v>
      </c>
      <c r="FW18" s="152">
        <v>0</v>
      </c>
      <c r="FX18" s="152">
        <v>0</v>
      </c>
      <c r="FY18" s="152">
        <v>0</v>
      </c>
      <c r="FZ18" s="152">
        <v>0</v>
      </c>
      <c r="GA18" s="150"/>
      <c r="GB18" s="151"/>
      <c r="GC18" s="152"/>
      <c r="GD18" s="150"/>
      <c r="GE18" s="150"/>
      <c r="GF18" s="151"/>
      <c r="GG18" s="150"/>
    </row>
    <row r="19" spans="1:189" ht="16">
      <c r="A19" s="119" t="s">
        <v>225</v>
      </c>
      <c r="B19" s="142" t="s">
        <v>226</v>
      </c>
      <c r="C19" s="143" t="s">
        <v>227</v>
      </c>
      <c r="D19" s="144"/>
      <c r="E19" s="153"/>
      <c r="F19" s="154"/>
      <c r="G19" s="154"/>
      <c r="H19" s="155"/>
      <c r="I19" s="156"/>
      <c r="J19" s="154"/>
      <c r="K19" s="154"/>
      <c r="L19" s="155"/>
      <c r="M19" s="156"/>
      <c r="N19" s="154"/>
      <c r="O19" s="154"/>
      <c r="P19" s="155"/>
      <c r="Q19" s="156"/>
      <c r="R19" s="154"/>
      <c r="S19" s="154"/>
      <c r="T19" s="155"/>
      <c r="U19" s="156"/>
      <c r="V19" s="154"/>
      <c r="W19" s="154"/>
      <c r="X19" s="155"/>
      <c r="Y19" s="156"/>
      <c r="Z19" s="154"/>
      <c r="AA19" s="154"/>
      <c r="AB19" s="155"/>
      <c r="AC19" s="156"/>
      <c r="AD19" s="154"/>
      <c r="AE19" s="154"/>
      <c r="AF19" s="155"/>
      <c r="AG19" s="156"/>
      <c r="AH19" s="154"/>
      <c r="AI19" s="154"/>
      <c r="AJ19" s="155"/>
      <c r="AK19" s="156"/>
      <c r="AL19" s="154"/>
      <c r="AM19" s="154"/>
      <c r="AN19" s="155"/>
      <c r="AO19" s="156"/>
      <c r="AP19" s="154"/>
      <c r="AQ19" s="154"/>
      <c r="AR19" s="155"/>
      <c r="AS19" s="156"/>
      <c r="AT19" s="154"/>
      <c r="AU19" s="154"/>
      <c r="AV19" s="155"/>
      <c r="AW19" s="156"/>
      <c r="AX19" s="154"/>
      <c r="AY19" s="154"/>
      <c r="AZ19" s="155"/>
      <c r="BA19" s="156"/>
      <c r="BB19" s="154"/>
      <c r="BC19" s="154"/>
      <c r="BD19" s="155"/>
      <c r="BE19" s="156"/>
      <c r="BF19" s="154"/>
      <c r="BG19" s="154"/>
      <c r="BH19" s="155"/>
      <c r="BI19" s="156"/>
      <c r="BJ19" s="154"/>
      <c r="BK19" s="154"/>
      <c r="BL19" s="155"/>
      <c r="BM19" s="156"/>
      <c r="BN19" s="154"/>
      <c r="BO19" s="154"/>
      <c r="BP19" s="155"/>
      <c r="BQ19" s="156"/>
      <c r="BR19" s="154"/>
      <c r="BS19" s="154"/>
      <c r="BT19" s="155"/>
      <c r="BU19" s="156"/>
      <c r="BV19" s="154"/>
      <c r="BW19" s="154"/>
      <c r="BX19" s="155"/>
      <c r="BY19" s="156"/>
      <c r="BZ19" s="154"/>
      <c r="CA19" s="154"/>
      <c r="CB19" s="155"/>
      <c r="CC19" s="156"/>
      <c r="CD19" s="154"/>
      <c r="CE19" s="154"/>
      <c r="CF19" s="155"/>
      <c r="CG19" s="156"/>
      <c r="CH19" s="154"/>
      <c r="CI19" s="154"/>
      <c r="CJ19" s="155"/>
      <c r="CK19" s="156"/>
      <c r="CL19" s="154"/>
      <c r="CM19" s="154"/>
      <c r="CN19" s="155"/>
      <c r="CO19" s="156"/>
      <c r="CP19" s="154"/>
      <c r="CQ19" s="154"/>
      <c r="CR19" s="155"/>
      <c r="CS19" s="156"/>
      <c r="CT19" s="154"/>
      <c r="CU19" s="154"/>
      <c r="CV19" s="155"/>
      <c r="CW19" s="156"/>
      <c r="CX19" s="154"/>
      <c r="CY19" s="154"/>
      <c r="CZ19" s="155"/>
      <c r="DA19" s="156"/>
      <c r="DB19" s="154"/>
      <c r="DC19" s="154"/>
      <c r="DD19" s="155"/>
      <c r="DE19" s="156"/>
      <c r="DF19" s="154"/>
      <c r="DG19" s="154"/>
      <c r="DH19" s="155"/>
      <c r="DI19" s="156"/>
      <c r="DJ19" s="154"/>
      <c r="DK19" s="154"/>
      <c r="DL19" s="155"/>
      <c r="DM19" s="156"/>
      <c r="DN19" s="154"/>
      <c r="DO19" s="154"/>
      <c r="DP19" s="155"/>
      <c r="DQ19" s="156"/>
      <c r="DR19" s="154"/>
      <c r="DS19" s="154"/>
      <c r="DT19" s="155"/>
      <c r="DU19" s="156"/>
      <c r="DV19" s="154"/>
      <c r="DW19" s="154"/>
      <c r="DX19" s="155"/>
      <c r="DY19" s="156"/>
      <c r="DZ19" s="154"/>
      <c r="EA19" s="154"/>
      <c r="EB19" s="155"/>
      <c r="EC19" s="156"/>
      <c r="ED19" s="154"/>
      <c r="EE19" s="154"/>
      <c r="EF19" s="155"/>
      <c r="EG19" s="156"/>
      <c r="EH19" s="154"/>
      <c r="EI19" s="154"/>
      <c r="EJ19" s="155"/>
      <c r="EK19" s="156"/>
      <c r="EL19" s="154"/>
      <c r="EM19" s="154"/>
      <c r="EN19" s="155"/>
      <c r="EO19" s="156"/>
      <c r="EP19" s="154"/>
      <c r="EQ19" s="154"/>
      <c r="ER19" s="155"/>
      <c r="ES19" s="156"/>
      <c r="ET19" s="154"/>
      <c r="EU19" s="154"/>
      <c r="EV19" s="155"/>
      <c r="EW19" s="156"/>
      <c r="EX19" s="154"/>
      <c r="EY19" s="154"/>
      <c r="EZ19" s="155"/>
      <c r="FA19" s="156"/>
      <c r="FB19" s="154"/>
      <c r="FC19" s="154"/>
      <c r="FD19" s="155"/>
      <c r="FE19" s="154"/>
      <c r="FF19" s="154"/>
      <c r="FG19" s="154"/>
      <c r="FH19" s="155"/>
      <c r="FI19" s="156"/>
      <c r="FJ19" s="154"/>
      <c r="FK19" s="154"/>
      <c r="FL19" s="155"/>
      <c r="FM19" s="156">
        <f>+FM39+FM50+FM51</f>
        <v>4210.79</v>
      </c>
      <c r="FN19" s="156">
        <f t="shared" ref="FN19:FT19" si="42">+FN39+FN50+FN51</f>
        <v>4292.5658681276</v>
      </c>
      <c r="FO19" s="156">
        <f t="shared" si="42"/>
        <v>4320.5200000000004</v>
      </c>
      <c r="FP19" s="156">
        <f t="shared" si="42"/>
        <v>4428.72</v>
      </c>
      <c r="FQ19" s="156">
        <f t="shared" si="42"/>
        <v>4990.91</v>
      </c>
      <c r="FR19" s="156">
        <f t="shared" si="42"/>
        <v>5201.5039999999999</v>
      </c>
      <c r="FS19" s="156">
        <f t="shared" si="42"/>
        <v>5157.51</v>
      </c>
      <c r="FT19" s="156">
        <f t="shared" si="42"/>
        <v>5535.5300000000007</v>
      </c>
      <c r="FU19" s="156">
        <v>5900.9080000000004</v>
      </c>
      <c r="FV19" s="156">
        <v>6394.25</v>
      </c>
      <c r="FW19" s="156">
        <v>6825.889000000001</v>
      </c>
      <c r="FX19" s="156">
        <v>6874.29</v>
      </c>
      <c r="FY19" s="156">
        <v>7240.2990000000009</v>
      </c>
      <c r="FZ19" s="154">
        <v>7680.74</v>
      </c>
      <c r="GA19" s="154"/>
      <c r="GB19" s="155"/>
      <c r="GC19" s="156"/>
      <c r="GD19" s="154"/>
      <c r="GE19" s="154"/>
      <c r="GF19" s="155"/>
      <c r="GG19" s="154"/>
    </row>
    <row r="20" spans="1:189" ht="16">
      <c r="A20" s="119" t="s">
        <v>228</v>
      </c>
      <c r="B20" s="157"/>
      <c r="C20" s="158" t="s">
        <v>229</v>
      </c>
      <c r="D20" s="159"/>
      <c r="E20" s="130"/>
      <c r="F20" s="131"/>
      <c r="G20" s="131"/>
      <c r="H20" s="132"/>
      <c r="I20" s="133"/>
      <c r="J20" s="131"/>
      <c r="K20" s="131"/>
      <c r="L20" s="132"/>
      <c r="M20" s="133"/>
      <c r="N20" s="131"/>
      <c r="O20" s="131"/>
      <c r="P20" s="132"/>
      <c r="Q20" s="133"/>
      <c r="R20" s="131"/>
      <c r="S20" s="131"/>
      <c r="T20" s="132"/>
      <c r="U20" s="133"/>
      <c r="V20" s="131"/>
      <c r="W20" s="131"/>
      <c r="X20" s="132"/>
      <c r="Y20" s="133"/>
      <c r="Z20" s="131"/>
      <c r="AA20" s="131"/>
      <c r="AB20" s="132"/>
      <c r="AC20" s="133"/>
      <c r="AD20" s="131"/>
      <c r="AE20" s="131"/>
      <c r="AF20" s="132"/>
      <c r="AG20" s="133"/>
      <c r="AH20" s="131"/>
      <c r="AI20" s="131"/>
      <c r="AJ20" s="132"/>
      <c r="AK20" s="133"/>
      <c r="AL20" s="131"/>
      <c r="AM20" s="131"/>
      <c r="AN20" s="132"/>
      <c r="AO20" s="133"/>
      <c r="AP20" s="131"/>
      <c r="AQ20" s="131"/>
      <c r="AR20" s="132"/>
      <c r="AS20" s="133"/>
      <c r="AT20" s="131"/>
      <c r="AU20" s="131"/>
      <c r="AV20" s="132"/>
      <c r="AW20" s="133"/>
      <c r="AX20" s="131"/>
      <c r="AY20" s="131"/>
      <c r="AZ20" s="132"/>
      <c r="BA20" s="133"/>
      <c r="BB20" s="131"/>
      <c r="BC20" s="131"/>
      <c r="BD20" s="132"/>
      <c r="BE20" s="133"/>
      <c r="BF20" s="131"/>
      <c r="BG20" s="131"/>
      <c r="BH20" s="132"/>
      <c r="BI20" s="133"/>
      <c r="BJ20" s="131"/>
      <c r="BK20" s="131"/>
      <c r="BL20" s="132"/>
      <c r="BM20" s="133"/>
      <c r="BN20" s="131"/>
      <c r="BO20" s="131"/>
      <c r="BP20" s="132"/>
      <c r="BQ20" s="133"/>
      <c r="BR20" s="131"/>
      <c r="BS20" s="131"/>
      <c r="BT20" s="132"/>
      <c r="BU20" s="133"/>
      <c r="BV20" s="131"/>
      <c r="BW20" s="131"/>
      <c r="BX20" s="132"/>
      <c r="BY20" s="133"/>
      <c r="BZ20" s="131"/>
      <c r="CA20" s="131"/>
      <c r="CB20" s="132"/>
      <c r="CC20" s="133"/>
      <c r="CD20" s="131"/>
      <c r="CE20" s="131"/>
      <c r="CF20" s="132"/>
      <c r="CG20" s="133"/>
      <c r="CH20" s="131"/>
      <c r="CI20" s="131"/>
      <c r="CJ20" s="132"/>
      <c r="CK20" s="133"/>
      <c r="CL20" s="131"/>
      <c r="CM20" s="131"/>
      <c r="CN20" s="132"/>
      <c r="CO20" s="133"/>
      <c r="CP20" s="131"/>
      <c r="CQ20" s="131"/>
      <c r="CR20" s="132"/>
      <c r="CS20" s="133"/>
      <c r="CT20" s="131"/>
      <c r="CU20" s="131"/>
      <c r="CV20" s="132"/>
      <c r="CW20" s="133"/>
      <c r="CX20" s="131"/>
      <c r="CY20" s="131"/>
      <c r="CZ20" s="132"/>
      <c r="DA20" s="133"/>
      <c r="DB20" s="131"/>
      <c r="DC20" s="131"/>
      <c r="DD20" s="132"/>
      <c r="DE20" s="133"/>
      <c r="DF20" s="131"/>
      <c r="DG20" s="131"/>
      <c r="DH20" s="132"/>
      <c r="DI20" s="133"/>
      <c r="DJ20" s="131"/>
      <c r="DK20" s="131"/>
      <c r="DL20" s="132"/>
      <c r="DM20" s="133"/>
      <c r="DN20" s="131"/>
      <c r="DO20" s="131"/>
      <c r="DP20" s="132"/>
      <c r="DQ20" s="133"/>
      <c r="DR20" s="131"/>
      <c r="DS20" s="131"/>
      <c r="DT20" s="132"/>
      <c r="DU20" s="133"/>
      <c r="DV20" s="131"/>
      <c r="DW20" s="131"/>
      <c r="DX20" s="132"/>
      <c r="DY20" s="133"/>
      <c r="DZ20" s="131"/>
      <c r="EA20" s="131"/>
      <c r="EB20" s="132"/>
      <c r="EC20" s="133"/>
      <c r="ED20" s="131"/>
      <c r="EE20" s="131"/>
      <c r="EF20" s="132"/>
      <c r="EG20" s="133"/>
      <c r="EH20" s="131"/>
      <c r="EI20" s="131"/>
      <c r="EJ20" s="132"/>
      <c r="EK20" s="133"/>
      <c r="EL20" s="131"/>
      <c r="EM20" s="131"/>
      <c r="EN20" s="132"/>
      <c r="EO20" s="133"/>
      <c r="EP20" s="131"/>
      <c r="EQ20" s="131"/>
      <c r="ER20" s="132"/>
      <c r="ES20" s="133"/>
      <c r="ET20" s="131"/>
      <c r="EU20" s="131"/>
      <c r="EV20" s="132"/>
      <c r="EW20" s="133"/>
      <c r="EX20" s="131"/>
      <c r="EY20" s="131"/>
      <c r="EZ20" s="132"/>
      <c r="FA20" s="133"/>
      <c r="FB20" s="131"/>
      <c r="FC20" s="131"/>
      <c r="FD20" s="132"/>
      <c r="FE20" s="131"/>
      <c r="FF20" s="131"/>
      <c r="FG20" s="131"/>
      <c r="FH20" s="132"/>
      <c r="FI20" s="133"/>
      <c r="FJ20" s="131"/>
      <c r="FK20" s="131"/>
      <c r="FL20" s="132"/>
      <c r="FM20" s="133"/>
      <c r="FN20" s="131"/>
      <c r="FO20" s="131"/>
      <c r="FP20" s="132"/>
      <c r="FQ20" s="133"/>
      <c r="FR20" s="131"/>
      <c r="FS20" s="131"/>
      <c r="FT20" s="132"/>
      <c r="FU20" s="133"/>
      <c r="FV20" s="131"/>
      <c r="FW20" s="131"/>
      <c r="FX20" s="132"/>
      <c r="FY20" s="133"/>
      <c r="FZ20" s="131"/>
      <c r="GA20" s="131"/>
      <c r="GB20" s="132"/>
      <c r="GC20" s="133"/>
      <c r="GD20" s="131"/>
      <c r="GE20" s="131"/>
      <c r="GF20" s="132"/>
      <c r="GG20" s="131"/>
    </row>
    <row r="21" spans="1:189" ht="16">
      <c r="A21" s="119" t="s">
        <v>230</v>
      </c>
      <c r="B21" s="127"/>
      <c r="C21" s="158" t="s">
        <v>231</v>
      </c>
      <c r="D21" s="159"/>
      <c r="E21" s="130"/>
      <c r="F21" s="131"/>
      <c r="G21" s="131"/>
      <c r="H21" s="132"/>
      <c r="I21" s="133"/>
      <c r="J21" s="131"/>
      <c r="K21" s="131"/>
      <c r="L21" s="132"/>
      <c r="M21" s="133"/>
      <c r="N21" s="131"/>
      <c r="O21" s="131"/>
      <c r="P21" s="132"/>
      <c r="Q21" s="133"/>
      <c r="R21" s="131"/>
      <c r="S21" s="131"/>
      <c r="T21" s="132"/>
      <c r="U21" s="133"/>
      <c r="V21" s="131"/>
      <c r="W21" s="131"/>
      <c r="X21" s="132"/>
      <c r="Y21" s="133"/>
      <c r="Z21" s="131"/>
      <c r="AA21" s="131"/>
      <c r="AB21" s="132"/>
      <c r="AC21" s="133"/>
      <c r="AD21" s="131"/>
      <c r="AE21" s="131"/>
      <c r="AF21" s="132"/>
      <c r="AG21" s="133"/>
      <c r="AH21" s="131"/>
      <c r="AI21" s="131"/>
      <c r="AJ21" s="132"/>
      <c r="AK21" s="133"/>
      <c r="AL21" s="131"/>
      <c r="AM21" s="131"/>
      <c r="AN21" s="132"/>
      <c r="AO21" s="133"/>
      <c r="AP21" s="131"/>
      <c r="AQ21" s="131"/>
      <c r="AR21" s="132"/>
      <c r="AS21" s="133"/>
      <c r="AT21" s="131"/>
      <c r="AU21" s="131"/>
      <c r="AV21" s="132"/>
      <c r="AW21" s="133"/>
      <c r="AX21" s="131"/>
      <c r="AY21" s="131"/>
      <c r="AZ21" s="132"/>
      <c r="BA21" s="133"/>
      <c r="BB21" s="131"/>
      <c r="BC21" s="131"/>
      <c r="BD21" s="132"/>
      <c r="BE21" s="133"/>
      <c r="BF21" s="131"/>
      <c r="BG21" s="131"/>
      <c r="BH21" s="132"/>
      <c r="BI21" s="133"/>
      <c r="BJ21" s="131"/>
      <c r="BK21" s="131"/>
      <c r="BL21" s="132"/>
      <c r="BM21" s="133"/>
      <c r="BN21" s="131"/>
      <c r="BO21" s="131"/>
      <c r="BP21" s="132"/>
      <c r="BQ21" s="133"/>
      <c r="BR21" s="131"/>
      <c r="BS21" s="131"/>
      <c r="BT21" s="132"/>
      <c r="BU21" s="133"/>
      <c r="BV21" s="131"/>
      <c r="BW21" s="131"/>
      <c r="BX21" s="132"/>
      <c r="BY21" s="133"/>
      <c r="BZ21" s="131"/>
      <c r="CA21" s="131"/>
      <c r="CB21" s="132"/>
      <c r="CC21" s="133"/>
      <c r="CD21" s="131"/>
      <c r="CE21" s="131"/>
      <c r="CF21" s="132"/>
      <c r="CG21" s="133"/>
      <c r="CH21" s="131"/>
      <c r="CI21" s="131"/>
      <c r="CJ21" s="132"/>
      <c r="CK21" s="133"/>
      <c r="CL21" s="131"/>
      <c r="CM21" s="131"/>
      <c r="CN21" s="132"/>
      <c r="CO21" s="133"/>
      <c r="CP21" s="131"/>
      <c r="CQ21" s="131"/>
      <c r="CR21" s="132"/>
      <c r="CS21" s="133"/>
      <c r="CT21" s="131"/>
      <c r="CU21" s="131"/>
      <c r="CV21" s="132"/>
      <c r="CW21" s="133"/>
      <c r="CX21" s="131"/>
      <c r="CY21" s="131"/>
      <c r="CZ21" s="132"/>
      <c r="DA21" s="133"/>
      <c r="DB21" s="131"/>
      <c r="DC21" s="131"/>
      <c r="DD21" s="132"/>
      <c r="DE21" s="133"/>
      <c r="DF21" s="131"/>
      <c r="DG21" s="131"/>
      <c r="DH21" s="132"/>
      <c r="DI21" s="133"/>
      <c r="DJ21" s="131"/>
      <c r="DK21" s="131"/>
      <c r="DL21" s="132"/>
      <c r="DM21" s="133"/>
      <c r="DN21" s="131"/>
      <c r="DO21" s="131"/>
      <c r="DP21" s="132"/>
      <c r="DQ21" s="133"/>
      <c r="DR21" s="131"/>
      <c r="DS21" s="131"/>
      <c r="DT21" s="132"/>
      <c r="DU21" s="133"/>
      <c r="DV21" s="131"/>
      <c r="DW21" s="131"/>
      <c r="DX21" s="132"/>
      <c r="DY21" s="133"/>
      <c r="DZ21" s="131"/>
      <c r="EA21" s="131"/>
      <c r="EB21" s="132"/>
      <c r="EC21" s="133"/>
      <c r="ED21" s="131"/>
      <c r="EE21" s="131"/>
      <c r="EF21" s="132"/>
      <c r="EG21" s="133"/>
      <c r="EH21" s="131"/>
      <c r="EI21" s="131"/>
      <c r="EJ21" s="132"/>
      <c r="EK21" s="133"/>
      <c r="EL21" s="131"/>
      <c r="EM21" s="131"/>
      <c r="EN21" s="132"/>
      <c r="EO21" s="133"/>
      <c r="EP21" s="131"/>
      <c r="EQ21" s="131"/>
      <c r="ER21" s="132"/>
      <c r="ES21" s="133"/>
      <c r="ET21" s="131"/>
      <c r="EU21" s="131"/>
      <c r="EV21" s="132"/>
      <c r="EW21" s="133"/>
      <c r="EX21" s="131"/>
      <c r="EY21" s="131"/>
      <c r="EZ21" s="132"/>
      <c r="FA21" s="133"/>
      <c r="FB21" s="131"/>
      <c r="FC21" s="131"/>
      <c r="FD21" s="132"/>
      <c r="FE21" s="131"/>
      <c r="FF21" s="131"/>
      <c r="FG21" s="131"/>
      <c r="FH21" s="132"/>
      <c r="FI21" s="133"/>
      <c r="FJ21" s="131"/>
      <c r="FK21" s="131"/>
      <c r="FL21" s="132"/>
      <c r="FM21" s="133"/>
      <c r="FN21" s="131"/>
      <c r="FO21" s="131"/>
      <c r="FP21" s="132"/>
      <c r="FQ21" s="133"/>
      <c r="FR21" s="131"/>
      <c r="FS21" s="131"/>
      <c r="FT21" s="132"/>
      <c r="FU21" s="133"/>
      <c r="FV21" s="131"/>
      <c r="FW21" s="131"/>
      <c r="FX21" s="132"/>
      <c r="FY21" s="133"/>
      <c r="FZ21" s="131"/>
      <c r="GA21" s="131"/>
      <c r="GB21" s="132"/>
      <c r="GC21" s="133"/>
      <c r="GD21" s="131"/>
      <c r="GE21" s="131"/>
      <c r="GF21" s="132"/>
      <c r="GG21" s="131"/>
    </row>
    <row r="22" spans="1:189" ht="16">
      <c r="A22" s="119" t="s">
        <v>232</v>
      </c>
      <c r="B22" s="142" t="s">
        <v>233</v>
      </c>
      <c r="C22" s="143" t="s">
        <v>234</v>
      </c>
      <c r="D22" s="144"/>
      <c r="E22" s="145"/>
      <c r="F22" s="146"/>
      <c r="G22" s="146"/>
      <c r="H22" s="147"/>
      <c r="I22" s="148"/>
      <c r="J22" s="146"/>
      <c r="K22" s="146"/>
      <c r="L22" s="147"/>
      <c r="M22" s="148"/>
      <c r="N22" s="146"/>
      <c r="O22" s="146"/>
      <c r="P22" s="147"/>
      <c r="Q22" s="148"/>
      <c r="R22" s="146"/>
      <c r="S22" s="146"/>
      <c r="T22" s="147"/>
      <c r="U22" s="148"/>
      <c r="V22" s="146"/>
      <c r="W22" s="146"/>
      <c r="X22" s="147"/>
      <c r="Y22" s="148"/>
      <c r="Z22" s="146"/>
      <c r="AA22" s="146"/>
      <c r="AB22" s="147"/>
      <c r="AC22" s="148"/>
      <c r="AD22" s="146"/>
      <c r="AE22" s="146"/>
      <c r="AF22" s="147"/>
      <c r="AG22" s="148"/>
      <c r="AH22" s="146"/>
      <c r="AI22" s="146"/>
      <c r="AJ22" s="147"/>
      <c r="AK22" s="148"/>
      <c r="AL22" s="146"/>
      <c r="AM22" s="146"/>
      <c r="AN22" s="147"/>
      <c r="AO22" s="148"/>
      <c r="AP22" s="146"/>
      <c r="AQ22" s="146"/>
      <c r="AR22" s="147"/>
      <c r="AS22" s="148"/>
      <c r="AT22" s="146"/>
      <c r="AU22" s="146"/>
      <c r="AV22" s="147"/>
      <c r="AW22" s="148"/>
      <c r="AX22" s="146"/>
      <c r="AY22" s="146"/>
      <c r="AZ22" s="147"/>
      <c r="BA22" s="148"/>
      <c r="BB22" s="146"/>
      <c r="BC22" s="146"/>
      <c r="BD22" s="147"/>
      <c r="BE22" s="148"/>
      <c r="BF22" s="146"/>
      <c r="BG22" s="146"/>
      <c r="BH22" s="147"/>
      <c r="BI22" s="148"/>
      <c r="BJ22" s="146"/>
      <c r="BK22" s="146"/>
      <c r="BL22" s="147"/>
      <c r="BM22" s="148"/>
      <c r="BN22" s="146"/>
      <c r="BO22" s="146"/>
      <c r="BP22" s="147"/>
      <c r="BQ22" s="148"/>
      <c r="BR22" s="146"/>
      <c r="BS22" s="146"/>
      <c r="BT22" s="147"/>
      <c r="BU22" s="148"/>
      <c r="BV22" s="146"/>
      <c r="BW22" s="146"/>
      <c r="BX22" s="147"/>
      <c r="BY22" s="148"/>
      <c r="BZ22" s="146"/>
      <c r="CA22" s="146"/>
      <c r="CB22" s="147"/>
      <c r="CC22" s="148"/>
      <c r="CD22" s="146"/>
      <c r="CE22" s="146"/>
      <c r="CF22" s="147"/>
      <c r="CG22" s="148"/>
      <c r="CH22" s="146"/>
      <c r="CI22" s="146"/>
      <c r="CJ22" s="147"/>
      <c r="CK22" s="148"/>
      <c r="CL22" s="146"/>
      <c r="CM22" s="146"/>
      <c r="CN22" s="147"/>
      <c r="CO22" s="148"/>
      <c r="CP22" s="146"/>
      <c r="CQ22" s="146"/>
      <c r="CR22" s="147"/>
      <c r="CS22" s="148"/>
      <c r="CT22" s="146"/>
      <c r="CU22" s="146"/>
      <c r="CV22" s="147"/>
      <c r="CW22" s="148"/>
      <c r="CX22" s="146"/>
      <c r="CY22" s="146"/>
      <c r="CZ22" s="147"/>
      <c r="DA22" s="148"/>
      <c r="DB22" s="146"/>
      <c r="DC22" s="146"/>
      <c r="DD22" s="147"/>
      <c r="DE22" s="148"/>
      <c r="DF22" s="146"/>
      <c r="DG22" s="146"/>
      <c r="DH22" s="147"/>
      <c r="DI22" s="148"/>
      <c r="DJ22" s="146"/>
      <c r="DK22" s="146"/>
      <c r="DL22" s="147"/>
      <c r="DM22" s="148"/>
      <c r="DN22" s="146"/>
      <c r="DO22" s="146"/>
      <c r="DP22" s="147"/>
      <c r="DQ22" s="148"/>
      <c r="DR22" s="146"/>
      <c r="DS22" s="146"/>
      <c r="DT22" s="147"/>
      <c r="DU22" s="148"/>
      <c r="DV22" s="146"/>
      <c r="DW22" s="146"/>
      <c r="DX22" s="147"/>
      <c r="DY22" s="148"/>
      <c r="DZ22" s="146"/>
      <c r="EA22" s="146"/>
      <c r="EB22" s="147"/>
      <c r="EC22" s="148"/>
      <c r="ED22" s="146"/>
      <c r="EE22" s="146"/>
      <c r="EF22" s="147"/>
      <c r="EG22" s="148"/>
      <c r="EH22" s="146"/>
      <c r="EI22" s="146"/>
      <c r="EJ22" s="147"/>
      <c r="EK22" s="148"/>
      <c r="EL22" s="146"/>
      <c r="EM22" s="146"/>
      <c r="EN22" s="147"/>
      <c r="EO22" s="148"/>
      <c r="EP22" s="146"/>
      <c r="EQ22" s="146"/>
      <c r="ER22" s="147"/>
      <c r="ES22" s="148"/>
      <c r="ET22" s="146"/>
      <c r="EU22" s="146"/>
      <c r="EV22" s="147"/>
      <c r="EW22" s="148"/>
      <c r="EX22" s="146"/>
      <c r="EY22" s="146"/>
      <c r="EZ22" s="147"/>
      <c r="FA22" s="148"/>
      <c r="FB22" s="146"/>
      <c r="FC22" s="146"/>
      <c r="FD22" s="147"/>
      <c r="FE22" s="146"/>
      <c r="FF22" s="146"/>
      <c r="FG22" s="146"/>
      <c r="FH22" s="147"/>
      <c r="FI22" s="148"/>
      <c r="FJ22" s="146"/>
      <c r="FK22" s="146"/>
      <c r="FL22" s="147"/>
      <c r="FM22" s="148">
        <f>+FM40+FM47+FM48</f>
        <v>4587.91</v>
      </c>
      <c r="FN22" s="148">
        <f t="shared" ref="FN22:GG22" si="43">+FN40+FN47+FN48</f>
        <v>5060.1838439349649</v>
      </c>
      <c r="FO22" s="148">
        <f t="shared" si="43"/>
        <v>4825.33</v>
      </c>
      <c r="FP22" s="148">
        <f t="shared" si="43"/>
        <v>4711.5760263958909</v>
      </c>
      <c r="FQ22" s="148">
        <f t="shared" si="43"/>
        <v>5098.82</v>
      </c>
      <c r="FR22" s="148">
        <f t="shared" si="43"/>
        <v>5253.8150000000005</v>
      </c>
      <c r="FS22" s="148">
        <f t="shared" si="43"/>
        <v>5436.8799999999992</v>
      </c>
      <c r="FT22" s="148">
        <f t="shared" si="43"/>
        <v>5387.3</v>
      </c>
      <c r="FU22" s="148">
        <f>+FU40+FU47+FU48</f>
        <v>5742.65</v>
      </c>
      <c r="FV22" s="148">
        <f t="shared" si="43"/>
        <v>5832.4580000000005</v>
      </c>
      <c r="FW22" s="148">
        <f t="shared" si="43"/>
        <v>5850.2420000000002</v>
      </c>
      <c r="FX22" s="148">
        <f t="shared" si="43"/>
        <v>5736.41</v>
      </c>
      <c r="FY22" s="148">
        <f t="shared" si="43"/>
        <v>5791.9210000000003</v>
      </c>
      <c r="FZ22" s="148">
        <f t="shared" si="43"/>
        <v>6110.3099999999995</v>
      </c>
      <c r="GA22" s="148">
        <f t="shared" si="43"/>
        <v>0</v>
      </c>
      <c r="GB22" s="148">
        <f t="shared" si="43"/>
        <v>0</v>
      </c>
      <c r="GC22" s="148">
        <f t="shared" si="43"/>
        <v>0</v>
      </c>
      <c r="GD22" s="148">
        <f t="shared" si="43"/>
        <v>0</v>
      </c>
      <c r="GE22" s="148">
        <f t="shared" si="43"/>
        <v>0</v>
      </c>
      <c r="GF22" s="148">
        <f t="shared" si="43"/>
        <v>0</v>
      </c>
      <c r="GG22" s="148">
        <f t="shared" si="43"/>
        <v>0</v>
      </c>
    </row>
    <row r="23" spans="1:189" ht="16">
      <c r="A23" s="119" t="s">
        <v>235</v>
      </c>
      <c r="B23" s="127"/>
      <c r="C23" s="160" t="s">
        <v>236</v>
      </c>
      <c r="D23" s="159"/>
      <c r="E23" s="130"/>
      <c r="F23" s="131"/>
      <c r="G23" s="131"/>
      <c r="H23" s="132"/>
      <c r="I23" s="133"/>
      <c r="J23" s="131"/>
      <c r="K23" s="131"/>
      <c r="L23" s="132"/>
      <c r="M23" s="133"/>
      <c r="N23" s="131"/>
      <c r="O23" s="131"/>
      <c r="P23" s="132"/>
      <c r="Q23" s="133"/>
      <c r="R23" s="131"/>
      <c r="S23" s="131"/>
      <c r="T23" s="132"/>
      <c r="U23" s="133"/>
      <c r="V23" s="131"/>
      <c r="W23" s="131"/>
      <c r="X23" s="132"/>
      <c r="Y23" s="133"/>
      <c r="Z23" s="131"/>
      <c r="AA23" s="131"/>
      <c r="AB23" s="132"/>
      <c r="AC23" s="133"/>
      <c r="AD23" s="131"/>
      <c r="AE23" s="131"/>
      <c r="AF23" s="132"/>
      <c r="AG23" s="133"/>
      <c r="AH23" s="131"/>
      <c r="AI23" s="131"/>
      <c r="AJ23" s="132"/>
      <c r="AK23" s="133"/>
      <c r="AL23" s="131"/>
      <c r="AM23" s="131"/>
      <c r="AN23" s="132"/>
      <c r="AO23" s="133"/>
      <c r="AP23" s="131"/>
      <c r="AQ23" s="131"/>
      <c r="AR23" s="132"/>
      <c r="AS23" s="133"/>
      <c r="AT23" s="131"/>
      <c r="AU23" s="131"/>
      <c r="AV23" s="132"/>
      <c r="AW23" s="133"/>
      <c r="AX23" s="131"/>
      <c r="AY23" s="131"/>
      <c r="AZ23" s="132"/>
      <c r="BA23" s="133"/>
      <c r="BB23" s="131"/>
      <c r="BC23" s="131"/>
      <c r="BD23" s="132"/>
      <c r="BE23" s="133"/>
      <c r="BF23" s="131"/>
      <c r="BG23" s="131"/>
      <c r="BH23" s="132"/>
      <c r="BI23" s="133"/>
      <c r="BJ23" s="131"/>
      <c r="BK23" s="131"/>
      <c r="BL23" s="132"/>
      <c r="BM23" s="133"/>
      <c r="BN23" s="131"/>
      <c r="BO23" s="131"/>
      <c r="BP23" s="132"/>
      <c r="BQ23" s="133"/>
      <c r="BR23" s="131"/>
      <c r="BS23" s="131"/>
      <c r="BT23" s="132"/>
      <c r="BU23" s="133"/>
      <c r="BV23" s="131"/>
      <c r="BW23" s="131"/>
      <c r="BX23" s="132"/>
      <c r="BY23" s="133"/>
      <c r="BZ23" s="131"/>
      <c r="CA23" s="131"/>
      <c r="CB23" s="132"/>
      <c r="CC23" s="133"/>
      <c r="CD23" s="131"/>
      <c r="CE23" s="131"/>
      <c r="CF23" s="132"/>
      <c r="CG23" s="133"/>
      <c r="CH23" s="131"/>
      <c r="CI23" s="131"/>
      <c r="CJ23" s="132"/>
      <c r="CK23" s="133"/>
      <c r="CL23" s="131"/>
      <c r="CM23" s="131"/>
      <c r="CN23" s="132"/>
      <c r="CO23" s="133"/>
      <c r="CP23" s="131"/>
      <c r="CQ23" s="131"/>
      <c r="CR23" s="132"/>
      <c r="CS23" s="133"/>
      <c r="CT23" s="131"/>
      <c r="CU23" s="131"/>
      <c r="CV23" s="132"/>
      <c r="CW23" s="133"/>
      <c r="CX23" s="131"/>
      <c r="CY23" s="131"/>
      <c r="CZ23" s="132"/>
      <c r="DA23" s="133"/>
      <c r="DB23" s="131"/>
      <c r="DC23" s="131"/>
      <c r="DD23" s="132"/>
      <c r="DE23" s="133"/>
      <c r="DF23" s="131"/>
      <c r="DG23" s="131"/>
      <c r="DH23" s="132"/>
      <c r="DI23" s="133"/>
      <c r="DJ23" s="131"/>
      <c r="DK23" s="131"/>
      <c r="DL23" s="132"/>
      <c r="DM23" s="133"/>
      <c r="DN23" s="131"/>
      <c r="DO23" s="131"/>
      <c r="DP23" s="132"/>
      <c r="DQ23" s="133"/>
      <c r="DR23" s="131"/>
      <c r="DS23" s="131"/>
      <c r="DT23" s="132"/>
      <c r="DU23" s="133"/>
      <c r="DV23" s="131"/>
      <c r="DW23" s="131"/>
      <c r="DX23" s="132"/>
      <c r="DY23" s="133"/>
      <c r="DZ23" s="131"/>
      <c r="EA23" s="131"/>
      <c r="EB23" s="132"/>
      <c r="EC23" s="133"/>
      <c r="ED23" s="131"/>
      <c r="EE23" s="131"/>
      <c r="EF23" s="132"/>
      <c r="EG23" s="133"/>
      <c r="EH23" s="131"/>
      <c r="EI23" s="131"/>
      <c r="EJ23" s="132"/>
      <c r="EK23" s="133"/>
      <c r="EL23" s="131"/>
      <c r="EM23" s="131"/>
      <c r="EN23" s="132"/>
      <c r="EO23" s="133"/>
      <c r="EP23" s="131"/>
      <c r="EQ23" s="131"/>
      <c r="ER23" s="132"/>
      <c r="ES23" s="133"/>
      <c r="ET23" s="131"/>
      <c r="EU23" s="131"/>
      <c r="EV23" s="132"/>
      <c r="EW23" s="133"/>
      <c r="EX23" s="131"/>
      <c r="EY23" s="131"/>
      <c r="EZ23" s="132"/>
      <c r="FA23" s="133"/>
      <c r="FB23" s="131"/>
      <c r="FC23" s="131"/>
      <c r="FD23" s="132"/>
      <c r="FE23" s="131"/>
      <c r="FF23" s="131"/>
      <c r="FG23" s="131"/>
      <c r="FH23" s="132"/>
      <c r="FI23" s="133"/>
      <c r="FJ23" s="131"/>
      <c r="FK23" s="131"/>
      <c r="FL23" s="132"/>
      <c r="FM23" s="133"/>
      <c r="FN23" s="131"/>
      <c r="FO23" s="131"/>
      <c r="FP23" s="132"/>
      <c r="FQ23" s="133"/>
      <c r="FR23" s="131"/>
      <c r="FS23" s="131"/>
      <c r="FT23" s="132"/>
      <c r="FU23" s="133"/>
      <c r="FV23" s="131"/>
      <c r="FW23" s="131"/>
      <c r="FX23" s="132"/>
      <c r="FY23" s="133"/>
      <c r="FZ23" s="131"/>
      <c r="GA23" s="131"/>
      <c r="GB23" s="132"/>
      <c r="GC23" s="133"/>
      <c r="GD23" s="131"/>
      <c r="GE23" s="131"/>
      <c r="GF23" s="132"/>
      <c r="GG23" s="131"/>
    </row>
    <row r="24" spans="1:189" ht="16">
      <c r="A24" s="119" t="s">
        <v>237</v>
      </c>
      <c r="B24" s="127"/>
      <c r="C24" s="160" t="s">
        <v>238</v>
      </c>
      <c r="D24" s="159"/>
      <c r="E24" s="130"/>
      <c r="F24" s="131"/>
      <c r="G24" s="131"/>
      <c r="H24" s="132"/>
      <c r="I24" s="133"/>
      <c r="J24" s="131"/>
      <c r="K24" s="131"/>
      <c r="L24" s="132"/>
      <c r="M24" s="133"/>
      <c r="N24" s="131"/>
      <c r="O24" s="131"/>
      <c r="P24" s="132"/>
      <c r="Q24" s="133"/>
      <c r="R24" s="131"/>
      <c r="S24" s="131"/>
      <c r="T24" s="132"/>
      <c r="U24" s="133"/>
      <c r="V24" s="131"/>
      <c r="W24" s="131"/>
      <c r="X24" s="132"/>
      <c r="Y24" s="133"/>
      <c r="Z24" s="131"/>
      <c r="AA24" s="131"/>
      <c r="AB24" s="132"/>
      <c r="AC24" s="133"/>
      <c r="AD24" s="131"/>
      <c r="AE24" s="131"/>
      <c r="AF24" s="132"/>
      <c r="AG24" s="133"/>
      <c r="AH24" s="131"/>
      <c r="AI24" s="131"/>
      <c r="AJ24" s="132"/>
      <c r="AK24" s="133"/>
      <c r="AL24" s="131"/>
      <c r="AM24" s="131"/>
      <c r="AN24" s="132"/>
      <c r="AO24" s="133"/>
      <c r="AP24" s="131"/>
      <c r="AQ24" s="131"/>
      <c r="AR24" s="132"/>
      <c r="AS24" s="133"/>
      <c r="AT24" s="131"/>
      <c r="AU24" s="131"/>
      <c r="AV24" s="132"/>
      <c r="AW24" s="133"/>
      <c r="AX24" s="131"/>
      <c r="AY24" s="131"/>
      <c r="AZ24" s="132"/>
      <c r="BA24" s="133"/>
      <c r="BB24" s="131"/>
      <c r="BC24" s="131"/>
      <c r="BD24" s="132"/>
      <c r="BE24" s="133"/>
      <c r="BF24" s="131"/>
      <c r="BG24" s="131"/>
      <c r="BH24" s="132"/>
      <c r="BI24" s="133"/>
      <c r="BJ24" s="131"/>
      <c r="BK24" s="131"/>
      <c r="BL24" s="132"/>
      <c r="BM24" s="133"/>
      <c r="BN24" s="131"/>
      <c r="BO24" s="131"/>
      <c r="BP24" s="132"/>
      <c r="BQ24" s="133"/>
      <c r="BR24" s="131"/>
      <c r="BS24" s="131"/>
      <c r="BT24" s="132"/>
      <c r="BU24" s="133"/>
      <c r="BV24" s="131"/>
      <c r="BW24" s="131"/>
      <c r="BX24" s="132"/>
      <c r="BY24" s="133"/>
      <c r="BZ24" s="131"/>
      <c r="CA24" s="131"/>
      <c r="CB24" s="132"/>
      <c r="CC24" s="133"/>
      <c r="CD24" s="131"/>
      <c r="CE24" s="131"/>
      <c r="CF24" s="132"/>
      <c r="CG24" s="133"/>
      <c r="CH24" s="131"/>
      <c r="CI24" s="131"/>
      <c r="CJ24" s="132"/>
      <c r="CK24" s="133"/>
      <c r="CL24" s="131"/>
      <c r="CM24" s="131"/>
      <c r="CN24" s="132"/>
      <c r="CO24" s="133"/>
      <c r="CP24" s="131"/>
      <c r="CQ24" s="131"/>
      <c r="CR24" s="132"/>
      <c r="CS24" s="133"/>
      <c r="CT24" s="131"/>
      <c r="CU24" s="131"/>
      <c r="CV24" s="132"/>
      <c r="CW24" s="133"/>
      <c r="CX24" s="131"/>
      <c r="CY24" s="131"/>
      <c r="CZ24" s="132"/>
      <c r="DA24" s="133"/>
      <c r="DB24" s="131"/>
      <c r="DC24" s="131"/>
      <c r="DD24" s="132"/>
      <c r="DE24" s="133"/>
      <c r="DF24" s="131"/>
      <c r="DG24" s="131"/>
      <c r="DH24" s="132"/>
      <c r="DI24" s="133"/>
      <c r="DJ24" s="131"/>
      <c r="DK24" s="131"/>
      <c r="DL24" s="132"/>
      <c r="DM24" s="133"/>
      <c r="DN24" s="131"/>
      <c r="DO24" s="131"/>
      <c r="DP24" s="132"/>
      <c r="DQ24" s="133"/>
      <c r="DR24" s="131"/>
      <c r="DS24" s="131"/>
      <c r="DT24" s="132"/>
      <c r="DU24" s="133"/>
      <c r="DV24" s="131"/>
      <c r="DW24" s="131"/>
      <c r="DX24" s="132"/>
      <c r="DY24" s="133"/>
      <c r="DZ24" s="131"/>
      <c r="EA24" s="131"/>
      <c r="EB24" s="132"/>
      <c r="EC24" s="133"/>
      <c r="ED24" s="131"/>
      <c r="EE24" s="131"/>
      <c r="EF24" s="132"/>
      <c r="EG24" s="133"/>
      <c r="EH24" s="131"/>
      <c r="EI24" s="131"/>
      <c r="EJ24" s="132"/>
      <c r="EK24" s="133"/>
      <c r="EL24" s="131"/>
      <c r="EM24" s="131"/>
      <c r="EN24" s="132"/>
      <c r="EO24" s="133"/>
      <c r="EP24" s="131"/>
      <c r="EQ24" s="131"/>
      <c r="ER24" s="132"/>
      <c r="ES24" s="133"/>
      <c r="ET24" s="131"/>
      <c r="EU24" s="131"/>
      <c r="EV24" s="132"/>
      <c r="EW24" s="133"/>
      <c r="EX24" s="131"/>
      <c r="EY24" s="131"/>
      <c r="EZ24" s="132"/>
      <c r="FA24" s="133"/>
      <c r="FB24" s="131"/>
      <c r="FC24" s="131"/>
      <c r="FD24" s="132"/>
      <c r="FE24" s="131"/>
      <c r="FF24" s="131"/>
      <c r="FG24" s="131"/>
      <c r="FH24" s="132"/>
      <c r="FI24" s="133"/>
      <c r="FJ24" s="131"/>
      <c r="FK24" s="131"/>
      <c r="FL24" s="132"/>
      <c r="FM24" s="133"/>
      <c r="FN24" s="131"/>
      <c r="FO24" s="131"/>
      <c r="FP24" s="132"/>
      <c r="FQ24" s="133"/>
      <c r="FR24" s="131"/>
      <c r="FS24" s="131"/>
      <c r="FT24" s="132"/>
      <c r="FU24" s="133"/>
      <c r="FV24" s="131"/>
      <c r="FW24" s="131"/>
      <c r="FX24" s="132"/>
      <c r="FY24" s="133"/>
      <c r="FZ24" s="131"/>
      <c r="GA24" s="131"/>
      <c r="GB24" s="132"/>
      <c r="GC24" s="133"/>
      <c r="GD24" s="131"/>
      <c r="GE24" s="131"/>
      <c r="GF24" s="132"/>
      <c r="GG24" s="131"/>
    </row>
    <row r="25" spans="1:189" ht="16">
      <c r="A25" s="119" t="s">
        <v>239</v>
      </c>
      <c r="B25" s="127"/>
      <c r="C25" s="160" t="s">
        <v>240</v>
      </c>
      <c r="D25" s="159"/>
      <c r="E25" s="130"/>
      <c r="F25" s="131"/>
      <c r="G25" s="131"/>
      <c r="H25" s="132"/>
      <c r="I25" s="133"/>
      <c r="J25" s="131"/>
      <c r="K25" s="131"/>
      <c r="L25" s="132"/>
      <c r="M25" s="133"/>
      <c r="N25" s="131"/>
      <c r="O25" s="131"/>
      <c r="P25" s="132"/>
      <c r="Q25" s="133"/>
      <c r="R25" s="131"/>
      <c r="S25" s="131"/>
      <c r="T25" s="132"/>
      <c r="U25" s="133"/>
      <c r="V25" s="131"/>
      <c r="W25" s="131"/>
      <c r="X25" s="132"/>
      <c r="Y25" s="133"/>
      <c r="Z25" s="131"/>
      <c r="AA25" s="131"/>
      <c r="AB25" s="132"/>
      <c r="AC25" s="133"/>
      <c r="AD25" s="131"/>
      <c r="AE25" s="131"/>
      <c r="AF25" s="132"/>
      <c r="AG25" s="133"/>
      <c r="AH25" s="131"/>
      <c r="AI25" s="131"/>
      <c r="AJ25" s="132"/>
      <c r="AK25" s="133"/>
      <c r="AL25" s="131"/>
      <c r="AM25" s="131"/>
      <c r="AN25" s="132"/>
      <c r="AO25" s="133"/>
      <c r="AP25" s="131"/>
      <c r="AQ25" s="131"/>
      <c r="AR25" s="132"/>
      <c r="AS25" s="133"/>
      <c r="AT25" s="131"/>
      <c r="AU25" s="131"/>
      <c r="AV25" s="132"/>
      <c r="AW25" s="133"/>
      <c r="AX25" s="131"/>
      <c r="AY25" s="131"/>
      <c r="AZ25" s="132"/>
      <c r="BA25" s="133"/>
      <c r="BB25" s="131"/>
      <c r="BC25" s="131"/>
      <c r="BD25" s="132"/>
      <c r="BE25" s="133"/>
      <c r="BF25" s="131"/>
      <c r="BG25" s="131"/>
      <c r="BH25" s="132"/>
      <c r="BI25" s="133"/>
      <c r="BJ25" s="131"/>
      <c r="BK25" s="131"/>
      <c r="BL25" s="132"/>
      <c r="BM25" s="133"/>
      <c r="BN25" s="131"/>
      <c r="BO25" s="131"/>
      <c r="BP25" s="132"/>
      <c r="BQ25" s="133"/>
      <c r="BR25" s="131"/>
      <c r="BS25" s="131"/>
      <c r="BT25" s="132"/>
      <c r="BU25" s="133"/>
      <c r="BV25" s="131"/>
      <c r="BW25" s="131"/>
      <c r="BX25" s="132"/>
      <c r="BY25" s="133"/>
      <c r="BZ25" s="131"/>
      <c r="CA25" s="131"/>
      <c r="CB25" s="132"/>
      <c r="CC25" s="133"/>
      <c r="CD25" s="131"/>
      <c r="CE25" s="131"/>
      <c r="CF25" s="132"/>
      <c r="CG25" s="133"/>
      <c r="CH25" s="131"/>
      <c r="CI25" s="131"/>
      <c r="CJ25" s="132"/>
      <c r="CK25" s="133"/>
      <c r="CL25" s="131"/>
      <c r="CM25" s="131"/>
      <c r="CN25" s="132"/>
      <c r="CO25" s="133"/>
      <c r="CP25" s="131"/>
      <c r="CQ25" s="131"/>
      <c r="CR25" s="132"/>
      <c r="CS25" s="133"/>
      <c r="CT25" s="131"/>
      <c r="CU25" s="131"/>
      <c r="CV25" s="132"/>
      <c r="CW25" s="133"/>
      <c r="CX25" s="131"/>
      <c r="CY25" s="131"/>
      <c r="CZ25" s="132"/>
      <c r="DA25" s="133"/>
      <c r="DB25" s="131"/>
      <c r="DC25" s="131"/>
      <c r="DD25" s="132"/>
      <c r="DE25" s="133"/>
      <c r="DF25" s="131"/>
      <c r="DG25" s="131"/>
      <c r="DH25" s="132"/>
      <c r="DI25" s="133"/>
      <c r="DJ25" s="131"/>
      <c r="DK25" s="131"/>
      <c r="DL25" s="132"/>
      <c r="DM25" s="133"/>
      <c r="DN25" s="131"/>
      <c r="DO25" s="131"/>
      <c r="DP25" s="132"/>
      <c r="DQ25" s="133"/>
      <c r="DR25" s="131"/>
      <c r="DS25" s="131"/>
      <c r="DT25" s="132"/>
      <c r="DU25" s="133"/>
      <c r="DV25" s="131"/>
      <c r="DW25" s="131"/>
      <c r="DX25" s="132"/>
      <c r="DY25" s="133"/>
      <c r="DZ25" s="131"/>
      <c r="EA25" s="131"/>
      <c r="EB25" s="132"/>
      <c r="EC25" s="133"/>
      <c r="ED25" s="131"/>
      <c r="EE25" s="131"/>
      <c r="EF25" s="132"/>
      <c r="EG25" s="133"/>
      <c r="EH25" s="131"/>
      <c r="EI25" s="131"/>
      <c r="EJ25" s="132"/>
      <c r="EK25" s="133"/>
      <c r="EL25" s="131"/>
      <c r="EM25" s="131"/>
      <c r="EN25" s="132"/>
      <c r="EO25" s="133"/>
      <c r="EP25" s="131"/>
      <c r="EQ25" s="131"/>
      <c r="ER25" s="132"/>
      <c r="ES25" s="133"/>
      <c r="ET25" s="131"/>
      <c r="EU25" s="131"/>
      <c r="EV25" s="132"/>
      <c r="EW25" s="133"/>
      <c r="EX25" s="131"/>
      <c r="EY25" s="131"/>
      <c r="EZ25" s="132"/>
      <c r="FA25" s="133"/>
      <c r="FB25" s="131"/>
      <c r="FC25" s="131"/>
      <c r="FD25" s="132"/>
      <c r="FE25" s="131"/>
      <c r="FF25" s="131"/>
      <c r="FG25" s="131"/>
      <c r="FH25" s="132"/>
      <c r="FI25" s="133"/>
      <c r="FJ25" s="131"/>
      <c r="FK25" s="131"/>
      <c r="FL25" s="132"/>
      <c r="FM25" s="133"/>
      <c r="FN25" s="131"/>
      <c r="FO25" s="131"/>
      <c r="FP25" s="132"/>
      <c r="FQ25" s="133"/>
      <c r="FR25" s="131"/>
      <c r="FS25" s="131"/>
      <c r="FT25" s="132"/>
      <c r="FU25" s="133"/>
      <c r="FV25" s="131"/>
      <c r="FW25" s="131"/>
      <c r="FX25" s="132"/>
      <c r="FY25" s="133"/>
      <c r="FZ25" s="131"/>
      <c r="GA25" s="131"/>
      <c r="GB25" s="132"/>
      <c r="GC25" s="133"/>
      <c r="GD25" s="131"/>
      <c r="GE25" s="131"/>
      <c r="GF25" s="132"/>
      <c r="GG25" s="131"/>
    </row>
    <row r="26" spans="1:189" ht="16">
      <c r="A26" s="119" t="s">
        <v>232</v>
      </c>
      <c r="B26" s="142" t="s">
        <v>241</v>
      </c>
      <c r="C26" s="143" t="s">
        <v>242</v>
      </c>
      <c r="D26" s="144"/>
      <c r="E26" s="145"/>
      <c r="F26" s="146"/>
      <c r="G26" s="146"/>
      <c r="H26" s="147"/>
      <c r="I26" s="148"/>
      <c r="J26" s="146"/>
      <c r="K26" s="146"/>
      <c r="L26" s="147"/>
      <c r="M26" s="148"/>
      <c r="N26" s="146"/>
      <c r="O26" s="146"/>
      <c r="P26" s="147"/>
      <c r="Q26" s="148"/>
      <c r="R26" s="146"/>
      <c r="S26" s="146"/>
      <c r="T26" s="147"/>
      <c r="U26" s="148"/>
      <c r="V26" s="146"/>
      <c r="W26" s="146"/>
      <c r="X26" s="147"/>
      <c r="Y26" s="148"/>
      <c r="Z26" s="146"/>
      <c r="AA26" s="146"/>
      <c r="AB26" s="147"/>
      <c r="AC26" s="148"/>
      <c r="AD26" s="146"/>
      <c r="AE26" s="146"/>
      <c r="AF26" s="147"/>
      <c r="AG26" s="148"/>
      <c r="AH26" s="146"/>
      <c r="AI26" s="146"/>
      <c r="AJ26" s="147"/>
      <c r="AK26" s="148"/>
      <c r="AL26" s="146"/>
      <c r="AM26" s="146"/>
      <c r="AN26" s="147"/>
      <c r="AO26" s="148"/>
      <c r="AP26" s="146"/>
      <c r="AQ26" s="146"/>
      <c r="AR26" s="147"/>
      <c r="AS26" s="148"/>
      <c r="AT26" s="146"/>
      <c r="AU26" s="146"/>
      <c r="AV26" s="147"/>
      <c r="AW26" s="148"/>
      <c r="AX26" s="146"/>
      <c r="AY26" s="146"/>
      <c r="AZ26" s="147"/>
      <c r="BA26" s="148"/>
      <c r="BB26" s="146"/>
      <c r="BC26" s="146"/>
      <c r="BD26" s="147"/>
      <c r="BE26" s="148"/>
      <c r="BF26" s="146"/>
      <c r="BG26" s="146"/>
      <c r="BH26" s="147"/>
      <c r="BI26" s="148"/>
      <c r="BJ26" s="146"/>
      <c r="BK26" s="146"/>
      <c r="BL26" s="147"/>
      <c r="BM26" s="148"/>
      <c r="BN26" s="146"/>
      <c r="BO26" s="146"/>
      <c r="BP26" s="147"/>
      <c r="BQ26" s="148"/>
      <c r="BR26" s="146"/>
      <c r="BS26" s="146"/>
      <c r="BT26" s="147"/>
      <c r="BU26" s="148"/>
      <c r="BV26" s="146"/>
      <c r="BW26" s="146"/>
      <c r="BX26" s="147"/>
      <c r="BY26" s="148"/>
      <c r="BZ26" s="146"/>
      <c r="CA26" s="146"/>
      <c r="CB26" s="147"/>
      <c r="CC26" s="148"/>
      <c r="CD26" s="146"/>
      <c r="CE26" s="146"/>
      <c r="CF26" s="147"/>
      <c r="CG26" s="148"/>
      <c r="CH26" s="146"/>
      <c r="CI26" s="146"/>
      <c r="CJ26" s="147"/>
      <c r="CK26" s="148"/>
      <c r="CL26" s="146"/>
      <c r="CM26" s="146"/>
      <c r="CN26" s="147"/>
      <c r="CO26" s="148"/>
      <c r="CP26" s="146"/>
      <c r="CQ26" s="146"/>
      <c r="CR26" s="147"/>
      <c r="CS26" s="148"/>
      <c r="CT26" s="146"/>
      <c r="CU26" s="146"/>
      <c r="CV26" s="147"/>
      <c r="CW26" s="148"/>
      <c r="CX26" s="146"/>
      <c r="CY26" s="146"/>
      <c r="CZ26" s="147"/>
      <c r="DA26" s="148"/>
      <c r="DB26" s="146"/>
      <c r="DC26" s="146"/>
      <c r="DD26" s="147"/>
      <c r="DE26" s="148"/>
      <c r="DF26" s="146"/>
      <c r="DG26" s="146"/>
      <c r="DH26" s="147"/>
      <c r="DI26" s="148"/>
      <c r="DJ26" s="146"/>
      <c r="DK26" s="146"/>
      <c r="DL26" s="147"/>
      <c r="DM26" s="148"/>
      <c r="DN26" s="146"/>
      <c r="DO26" s="146"/>
      <c r="DP26" s="147"/>
      <c r="DQ26" s="148"/>
      <c r="DR26" s="146"/>
      <c r="DS26" s="146"/>
      <c r="DT26" s="147"/>
      <c r="DU26" s="148"/>
      <c r="DV26" s="146"/>
      <c r="DW26" s="146"/>
      <c r="DX26" s="147"/>
      <c r="DY26" s="148"/>
      <c r="DZ26" s="146"/>
      <c r="EA26" s="146"/>
      <c r="EB26" s="147"/>
      <c r="EC26" s="148"/>
      <c r="ED26" s="146"/>
      <c r="EE26" s="146"/>
      <c r="EF26" s="147"/>
      <c r="EG26" s="148"/>
      <c r="EH26" s="146"/>
      <c r="EI26" s="146"/>
      <c r="EJ26" s="147"/>
      <c r="EK26" s="148"/>
      <c r="EL26" s="146"/>
      <c r="EM26" s="146"/>
      <c r="EN26" s="147"/>
      <c r="EO26" s="148"/>
      <c r="EP26" s="146"/>
      <c r="EQ26" s="146"/>
      <c r="ER26" s="147"/>
      <c r="ES26" s="148"/>
      <c r="ET26" s="146"/>
      <c r="EU26" s="146"/>
      <c r="EV26" s="147"/>
      <c r="EW26" s="148"/>
      <c r="EX26" s="146"/>
      <c r="EY26" s="146"/>
      <c r="EZ26" s="147"/>
      <c r="FA26" s="148"/>
      <c r="FB26" s="146"/>
      <c r="FC26" s="146"/>
      <c r="FD26" s="147"/>
      <c r="FE26" s="146"/>
      <c r="FF26" s="146"/>
      <c r="FG26" s="146"/>
      <c r="FH26" s="147"/>
      <c r="FI26" s="148"/>
      <c r="FJ26" s="146"/>
      <c r="FK26" s="146"/>
      <c r="FL26" s="147"/>
      <c r="FM26" s="148">
        <v>0</v>
      </c>
      <c r="FN26" s="148">
        <v>0</v>
      </c>
      <c r="FO26" s="148">
        <v>0</v>
      </c>
      <c r="FP26" s="148">
        <v>0</v>
      </c>
      <c r="FQ26" s="148">
        <v>0</v>
      </c>
      <c r="FR26" s="148">
        <v>0</v>
      </c>
      <c r="FS26" s="148">
        <v>0</v>
      </c>
      <c r="FT26" s="148">
        <v>0</v>
      </c>
      <c r="FU26" s="148">
        <v>0</v>
      </c>
      <c r="FV26" s="148">
        <v>0</v>
      </c>
      <c r="FW26" s="148">
        <v>0</v>
      </c>
      <c r="FX26" s="148">
        <v>0</v>
      </c>
      <c r="FY26" s="148">
        <v>0</v>
      </c>
      <c r="FZ26" s="148">
        <v>0</v>
      </c>
      <c r="GA26" s="146"/>
      <c r="GB26" s="147"/>
      <c r="GC26" s="148"/>
      <c r="GD26" s="146"/>
      <c r="GE26" s="146"/>
      <c r="GF26" s="147"/>
      <c r="GG26" s="146"/>
    </row>
    <row r="27" spans="1:189" ht="16">
      <c r="A27" s="119" t="s">
        <v>243</v>
      </c>
      <c r="B27" s="142" t="s">
        <v>244</v>
      </c>
      <c r="C27" s="143" t="s">
        <v>146</v>
      </c>
      <c r="D27" s="144"/>
      <c r="E27" s="145"/>
      <c r="F27" s="146"/>
      <c r="G27" s="146"/>
      <c r="H27" s="147"/>
      <c r="I27" s="148"/>
      <c r="J27" s="146"/>
      <c r="K27" s="146"/>
      <c r="L27" s="147"/>
      <c r="M27" s="148"/>
      <c r="N27" s="146"/>
      <c r="O27" s="146"/>
      <c r="P27" s="147"/>
      <c r="Q27" s="148"/>
      <c r="R27" s="146"/>
      <c r="S27" s="146"/>
      <c r="T27" s="147"/>
      <c r="U27" s="148"/>
      <c r="V27" s="146"/>
      <c r="W27" s="146"/>
      <c r="X27" s="147"/>
      <c r="Y27" s="148"/>
      <c r="Z27" s="146"/>
      <c r="AA27" s="146"/>
      <c r="AB27" s="147"/>
      <c r="AC27" s="148"/>
      <c r="AD27" s="146"/>
      <c r="AE27" s="146"/>
      <c r="AF27" s="147"/>
      <c r="AG27" s="148"/>
      <c r="AH27" s="146"/>
      <c r="AI27" s="146"/>
      <c r="AJ27" s="147"/>
      <c r="AK27" s="148"/>
      <c r="AL27" s="146"/>
      <c r="AM27" s="146"/>
      <c r="AN27" s="147"/>
      <c r="AO27" s="148"/>
      <c r="AP27" s="146"/>
      <c r="AQ27" s="146"/>
      <c r="AR27" s="147"/>
      <c r="AS27" s="148"/>
      <c r="AT27" s="146"/>
      <c r="AU27" s="146"/>
      <c r="AV27" s="147"/>
      <c r="AW27" s="148"/>
      <c r="AX27" s="146"/>
      <c r="AY27" s="146"/>
      <c r="AZ27" s="147"/>
      <c r="BA27" s="148"/>
      <c r="BB27" s="146"/>
      <c r="BC27" s="146"/>
      <c r="BD27" s="147"/>
      <c r="BE27" s="148"/>
      <c r="BF27" s="146"/>
      <c r="BG27" s="146"/>
      <c r="BH27" s="147"/>
      <c r="BI27" s="148"/>
      <c r="BJ27" s="146"/>
      <c r="BK27" s="146"/>
      <c r="BL27" s="147"/>
      <c r="BM27" s="148"/>
      <c r="BN27" s="146"/>
      <c r="BO27" s="146"/>
      <c r="BP27" s="147"/>
      <c r="BQ27" s="148"/>
      <c r="BR27" s="146"/>
      <c r="BS27" s="146"/>
      <c r="BT27" s="147"/>
      <c r="BU27" s="148"/>
      <c r="BV27" s="146"/>
      <c r="BW27" s="146"/>
      <c r="BX27" s="147"/>
      <c r="BY27" s="148"/>
      <c r="BZ27" s="146"/>
      <c r="CA27" s="146"/>
      <c r="CB27" s="147"/>
      <c r="CC27" s="148"/>
      <c r="CD27" s="146"/>
      <c r="CE27" s="146"/>
      <c r="CF27" s="147"/>
      <c r="CG27" s="148"/>
      <c r="CH27" s="146"/>
      <c r="CI27" s="146"/>
      <c r="CJ27" s="147"/>
      <c r="CK27" s="148"/>
      <c r="CL27" s="146"/>
      <c r="CM27" s="146"/>
      <c r="CN27" s="147"/>
      <c r="CO27" s="148"/>
      <c r="CP27" s="146"/>
      <c r="CQ27" s="146"/>
      <c r="CR27" s="147"/>
      <c r="CS27" s="148"/>
      <c r="CT27" s="146"/>
      <c r="CU27" s="146"/>
      <c r="CV27" s="147"/>
      <c r="CW27" s="148"/>
      <c r="CX27" s="146"/>
      <c r="CY27" s="146"/>
      <c r="CZ27" s="147"/>
      <c r="DA27" s="148"/>
      <c r="DB27" s="146"/>
      <c r="DC27" s="146"/>
      <c r="DD27" s="147"/>
      <c r="DE27" s="148"/>
      <c r="DF27" s="146"/>
      <c r="DG27" s="146"/>
      <c r="DH27" s="147"/>
      <c r="DI27" s="148"/>
      <c r="DJ27" s="146"/>
      <c r="DK27" s="146"/>
      <c r="DL27" s="147"/>
      <c r="DM27" s="148"/>
      <c r="DN27" s="146"/>
      <c r="DO27" s="146"/>
      <c r="DP27" s="147"/>
      <c r="DQ27" s="148"/>
      <c r="DR27" s="146"/>
      <c r="DS27" s="146"/>
      <c r="DT27" s="147"/>
      <c r="DU27" s="148"/>
      <c r="DV27" s="146"/>
      <c r="DW27" s="146"/>
      <c r="DX27" s="147"/>
      <c r="DY27" s="148"/>
      <c r="DZ27" s="146"/>
      <c r="EA27" s="146"/>
      <c r="EB27" s="147"/>
      <c r="EC27" s="148"/>
      <c r="ED27" s="146"/>
      <c r="EE27" s="146"/>
      <c r="EF27" s="147"/>
      <c r="EG27" s="148"/>
      <c r="EH27" s="146"/>
      <c r="EI27" s="146"/>
      <c r="EJ27" s="147"/>
      <c r="EK27" s="148"/>
      <c r="EL27" s="146"/>
      <c r="EM27" s="146"/>
      <c r="EN27" s="147"/>
      <c r="EO27" s="148"/>
      <c r="EP27" s="146"/>
      <c r="EQ27" s="146"/>
      <c r="ER27" s="147"/>
      <c r="ES27" s="148"/>
      <c r="ET27" s="146"/>
      <c r="EU27" s="146"/>
      <c r="EV27" s="147"/>
      <c r="EW27" s="148"/>
      <c r="EX27" s="146"/>
      <c r="EY27" s="146"/>
      <c r="EZ27" s="147"/>
      <c r="FA27" s="148"/>
      <c r="FB27" s="146"/>
      <c r="FC27" s="146"/>
      <c r="FD27" s="147"/>
      <c r="FE27" s="146"/>
      <c r="FF27" s="146"/>
      <c r="FG27" s="146"/>
      <c r="FH27" s="147"/>
      <c r="FI27" s="148"/>
      <c r="FJ27" s="146"/>
      <c r="FK27" s="146"/>
      <c r="FL27" s="147"/>
      <c r="FM27" s="148">
        <v>0</v>
      </c>
      <c r="FN27" s="148">
        <v>0</v>
      </c>
      <c r="FO27" s="148">
        <v>0</v>
      </c>
      <c r="FP27" s="148">
        <v>0</v>
      </c>
      <c r="FQ27" s="148">
        <v>0</v>
      </c>
      <c r="FR27" s="148">
        <v>0</v>
      </c>
      <c r="FS27" s="148">
        <v>0</v>
      </c>
      <c r="FT27" s="148">
        <v>0</v>
      </c>
      <c r="FU27" s="148">
        <v>0</v>
      </c>
      <c r="FV27" s="148">
        <v>0</v>
      </c>
      <c r="FW27" s="148">
        <v>0</v>
      </c>
      <c r="FX27" s="148">
        <v>0</v>
      </c>
      <c r="FY27" s="148">
        <v>0</v>
      </c>
      <c r="FZ27" s="148">
        <v>0</v>
      </c>
      <c r="GA27" s="146"/>
      <c r="GB27" s="147"/>
      <c r="GC27" s="148"/>
      <c r="GD27" s="146"/>
      <c r="GE27" s="146"/>
      <c r="GF27" s="147"/>
      <c r="GG27" s="146"/>
    </row>
    <row r="28" spans="1:189" ht="16">
      <c r="A28" s="119" t="s">
        <v>245</v>
      </c>
      <c r="B28" s="127"/>
      <c r="C28" s="160" t="s">
        <v>246</v>
      </c>
      <c r="D28" s="159"/>
      <c r="E28" s="130"/>
      <c r="F28" s="131"/>
      <c r="G28" s="131"/>
      <c r="H28" s="132"/>
      <c r="I28" s="133"/>
      <c r="J28" s="131"/>
      <c r="K28" s="131"/>
      <c r="L28" s="132"/>
      <c r="M28" s="133"/>
      <c r="N28" s="131"/>
      <c r="O28" s="131"/>
      <c r="P28" s="132"/>
      <c r="Q28" s="133"/>
      <c r="R28" s="131"/>
      <c r="S28" s="131"/>
      <c r="T28" s="132"/>
      <c r="U28" s="133"/>
      <c r="V28" s="131"/>
      <c r="W28" s="131"/>
      <c r="X28" s="132"/>
      <c r="Y28" s="133"/>
      <c r="Z28" s="131"/>
      <c r="AA28" s="131"/>
      <c r="AB28" s="132"/>
      <c r="AC28" s="133"/>
      <c r="AD28" s="131"/>
      <c r="AE28" s="131"/>
      <c r="AF28" s="132"/>
      <c r="AG28" s="133"/>
      <c r="AH28" s="131"/>
      <c r="AI28" s="131"/>
      <c r="AJ28" s="132"/>
      <c r="AK28" s="133"/>
      <c r="AL28" s="131"/>
      <c r="AM28" s="131"/>
      <c r="AN28" s="132"/>
      <c r="AO28" s="133"/>
      <c r="AP28" s="131"/>
      <c r="AQ28" s="131"/>
      <c r="AR28" s="132"/>
      <c r="AS28" s="133"/>
      <c r="AT28" s="131"/>
      <c r="AU28" s="131"/>
      <c r="AV28" s="132"/>
      <c r="AW28" s="133"/>
      <c r="AX28" s="131"/>
      <c r="AY28" s="131"/>
      <c r="AZ28" s="132"/>
      <c r="BA28" s="133"/>
      <c r="BB28" s="131"/>
      <c r="BC28" s="131"/>
      <c r="BD28" s="132"/>
      <c r="BE28" s="133"/>
      <c r="BF28" s="131"/>
      <c r="BG28" s="131"/>
      <c r="BH28" s="132"/>
      <c r="BI28" s="133"/>
      <c r="BJ28" s="131"/>
      <c r="BK28" s="131"/>
      <c r="BL28" s="132"/>
      <c r="BM28" s="133"/>
      <c r="BN28" s="131"/>
      <c r="BO28" s="131"/>
      <c r="BP28" s="132"/>
      <c r="BQ28" s="133"/>
      <c r="BR28" s="131"/>
      <c r="BS28" s="131"/>
      <c r="BT28" s="132"/>
      <c r="BU28" s="133"/>
      <c r="BV28" s="131"/>
      <c r="BW28" s="131"/>
      <c r="BX28" s="132"/>
      <c r="BY28" s="133"/>
      <c r="BZ28" s="131"/>
      <c r="CA28" s="131"/>
      <c r="CB28" s="132"/>
      <c r="CC28" s="133"/>
      <c r="CD28" s="131"/>
      <c r="CE28" s="131"/>
      <c r="CF28" s="132"/>
      <c r="CG28" s="133"/>
      <c r="CH28" s="131"/>
      <c r="CI28" s="131"/>
      <c r="CJ28" s="132"/>
      <c r="CK28" s="133"/>
      <c r="CL28" s="131"/>
      <c r="CM28" s="131"/>
      <c r="CN28" s="132"/>
      <c r="CO28" s="133"/>
      <c r="CP28" s="131"/>
      <c r="CQ28" s="131"/>
      <c r="CR28" s="132"/>
      <c r="CS28" s="133"/>
      <c r="CT28" s="131"/>
      <c r="CU28" s="131"/>
      <c r="CV28" s="132"/>
      <c r="CW28" s="133"/>
      <c r="CX28" s="131"/>
      <c r="CY28" s="131"/>
      <c r="CZ28" s="132"/>
      <c r="DA28" s="133"/>
      <c r="DB28" s="131"/>
      <c r="DC28" s="131"/>
      <c r="DD28" s="132"/>
      <c r="DE28" s="133"/>
      <c r="DF28" s="131"/>
      <c r="DG28" s="131"/>
      <c r="DH28" s="132"/>
      <c r="DI28" s="133"/>
      <c r="DJ28" s="131"/>
      <c r="DK28" s="131"/>
      <c r="DL28" s="132"/>
      <c r="DM28" s="133"/>
      <c r="DN28" s="131"/>
      <c r="DO28" s="131"/>
      <c r="DP28" s="132"/>
      <c r="DQ28" s="133"/>
      <c r="DR28" s="131"/>
      <c r="DS28" s="131"/>
      <c r="DT28" s="132"/>
      <c r="DU28" s="133"/>
      <c r="DV28" s="131"/>
      <c r="DW28" s="131"/>
      <c r="DX28" s="132"/>
      <c r="DY28" s="133"/>
      <c r="DZ28" s="131"/>
      <c r="EA28" s="131"/>
      <c r="EB28" s="132"/>
      <c r="EC28" s="133"/>
      <c r="ED28" s="131"/>
      <c r="EE28" s="131"/>
      <c r="EF28" s="132"/>
      <c r="EG28" s="133"/>
      <c r="EH28" s="131"/>
      <c r="EI28" s="131"/>
      <c r="EJ28" s="132"/>
      <c r="EK28" s="133"/>
      <c r="EL28" s="131"/>
      <c r="EM28" s="131"/>
      <c r="EN28" s="132"/>
      <c r="EO28" s="133"/>
      <c r="EP28" s="131"/>
      <c r="EQ28" s="131"/>
      <c r="ER28" s="132"/>
      <c r="ES28" s="133"/>
      <c r="ET28" s="131"/>
      <c r="EU28" s="131"/>
      <c r="EV28" s="132"/>
      <c r="EW28" s="133"/>
      <c r="EX28" s="131"/>
      <c r="EY28" s="131"/>
      <c r="EZ28" s="132"/>
      <c r="FA28" s="133"/>
      <c r="FB28" s="131"/>
      <c r="FC28" s="131"/>
      <c r="FD28" s="132"/>
      <c r="FE28" s="131"/>
      <c r="FF28" s="131"/>
      <c r="FG28" s="131"/>
      <c r="FH28" s="132"/>
      <c r="FI28" s="133"/>
      <c r="FJ28" s="131"/>
      <c r="FK28" s="131"/>
      <c r="FL28" s="132"/>
      <c r="FM28" s="133"/>
      <c r="FN28" s="131"/>
      <c r="FO28" s="131"/>
      <c r="FP28" s="132"/>
      <c r="FQ28" s="133"/>
      <c r="FR28" s="131"/>
      <c r="FS28" s="131"/>
      <c r="FT28" s="132"/>
      <c r="FU28" s="133"/>
      <c r="FV28" s="131"/>
      <c r="FW28" s="131"/>
      <c r="FX28" s="132"/>
      <c r="FY28" s="133"/>
      <c r="FZ28" s="131"/>
      <c r="GA28" s="131"/>
      <c r="GB28" s="132"/>
      <c r="GC28" s="133"/>
      <c r="GD28" s="131"/>
      <c r="GE28" s="131"/>
      <c r="GF28" s="132"/>
      <c r="GG28" s="131"/>
    </row>
    <row r="29" spans="1:189" ht="33.75" customHeight="1">
      <c r="A29" s="137"/>
      <c r="B29" s="161"/>
      <c r="C29" s="161" t="s">
        <v>247</v>
      </c>
      <c r="D29" s="162"/>
      <c r="E29" s="115"/>
      <c r="F29" s="116"/>
      <c r="G29" s="116"/>
      <c r="H29" s="117"/>
      <c r="I29" s="118"/>
      <c r="J29" s="116"/>
      <c r="K29" s="116"/>
      <c r="L29" s="117"/>
      <c r="M29" s="118"/>
      <c r="N29" s="116"/>
      <c r="O29" s="116"/>
      <c r="P29" s="117"/>
      <c r="Q29" s="118"/>
      <c r="R29" s="116"/>
      <c r="S29" s="116"/>
      <c r="T29" s="117"/>
      <c r="U29" s="118"/>
      <c r="V29" s="116"/>
      <c r="W29" s="116"/>
      <c r="X29" s="117"/>
      <c r="Y29" s="118"/>
      <c r="Z29" s="116"/>
      <c r="AA29" s="116"/>
      <c r="AB29" s="117"/>
      <c r="AC29" s="118"/>
      <c r="AD29" s="116"/>
      <c r="AE29" s="116"/>
      <c r="AF29" s="117"/>
      <c r="AG29" s="118"/>
      <c r="AH29" s="116"/>
      <c r="AI29" s="116"/>
      <c r="AJ29" s="117"/>
      <c r="AK29" s="118"/>
      <c r="AL29" s="116"/>
      <c r="AM29" s="116"/>
      <c r="AN29" s="117"/>
      <c r="AO29" s="118"/>
      <c r="AP29" s="116"/>
      <c r="AQ29" s="116"/>
      <c r="AR29" s="117"/>
      <c r="AS29" s="118"/>
      <c r="AT29" s="116"/>
      <c r="AU29" s="116"/>
      <c r="AV29" s="117"/>
      <c r="AW29" s="118"/>
      <c r="AX29" s="116"/>
      <c r="AY29" s="116"/>
      <c r="AZ29" s="117"/>
      <c r="BA29" s="118"/>
      <c r="BB29" s="116"/>
      <c r="BC29" s="116"/>
      <c r="BD29" s="117"/>
      <c r="BE29" s="118"/>
      <c r="BF29" s="116"/>
      <c r="BG29" s="116"/>
      <c r="BH29" s="117"/>
      <c r="BI29" s="118"/>
      <c r="BJ29" s="116"/>
      <c r="BK29" s="116"/>
      <c r="BL29" s="117"/>
      <c r="BM29" s="118"/>
      <c r="BN29" s="116"/>
      <c r="BO29" s="116"/>
      <c r="BP29" s="117"/>
      <c r="BQ29" s="118"/>
      <c r="BR29" s="116"/>
      <c r="BS29" s="116"/>
      <c r="BT29" s="117"/>
      <c r="BU29" s="118"/>
      <c r="BV29" s="116"/>
      <c r="BW29" s="116"/>
      <c r="BX29" s="117"/>
      <c r="BY29" s="118"/>
      <c r="BZ29" s="116"/>
      <c r="CA29" s="116"/>
      <c r="CB29" s="117"/>
      <c r="CC29" s="118"/>
      <c r="CD29" s="116"/>
      <c r="CE29" s="116"/>
      <c r="CF29" s="117"/>
      <c r="CG29" s="118"/>
      <c r="CH29" s="116"/>
      <c r="CI29" s="116"/>
      <c r="CJ29" s="117"/>
      <c r="CK29" s="118"/>
      <c r="CL29" s="116"/>
      <c r="CM29" s="116"/>
      <c r="CN29" s="117"/>
      <c r="CO29" s="118"/>
      <c r="CP29" s="116"/>
      <c r="CQ29" s="116"/>
      <c r="CR29" s="117"/>
      <c r="CS29" s="118"/>
      <c r="CT29" s="116"/>
      <c r="CU29" s="116"/>
      <c r="CV29" s="117"/>
      <c r="CW29" s="118"/>
      <c r="CX29" s="116"/>
      <c r="CY29" s="116"/>
      <c r="CZ29" s="117"/>
      <c r="DA29" s="118"/>
      <c r="DB29" s="116"/>
      <c r="DC29" s="116"/>
      <c r="DD29" s="117"/>
      <c r="DE29" s="118"/>
      <c r="DF29" s="116"/>
      <c r="DG29" s="116"/>
      <c r="DH29" s="117"/>
      <c r="DI29" s="118"/>
      <c r="DJ29" s="116"/>
      <c r="DK29" s="116"/>
      <c r="DL29" s="117"/>
      <c r="DM29" s="118"/>
      <c r="DN29" s="116"/>
      <c r="DO29" s="116"/>
      <c r="DP29" s="117"/>
      <c r="DQ29" s="118"/>
      <c r="DR29" s="116"/>
      <c r="DS29" s="116"/>
      <c r="DT29" s="117"/>
      <c r="DU29" s="118"/>
      <c r="DV29" s="116"/>
      <c r="DW29" s="116"/>
      <c r="DX29" s="117"/>
      <c r="DY29" s="118"/>
      <c r="DZ29" s="116"/>
      <c r="EA29" s="116"/>
      <c r="EB29" s="117"/>
      <c r="EC29" s="118"/>
      <c r="ED29" s="116"/>
      <c r="EE29" s="116"/>
      <c r="EF29" s="117"/>
      <c r="EG29" s="118"/>
      <c r="EH29" s="116"/>
      <c r="EI29" s="116"/>
      <c r="EJ29" s="117"/>
      <c r="EK29" s="118"/>
      <c r="EL29" s="116"/>
      <c r="EM29" s="116"/>
      <c r="EN29" s="117"/>
      <c r="EO29" s="118"/>
      <c r="EP29" s="116"/>
      <c r="EQ29" s="116"/>
      <c r="ER29" s="117"/>
      <c r="ES29" s="118"/>
      <c r="ET29" s="116"/>
      <c r="EU29" s="116"/>
      <c r="EV29" s="117"/>
      <c r="EW29" s="118"/>
      <c r="EX29" s="116"/>
      <c r="EY29" s="116"/>
      <c r="EZ29" s="117"/>
      <c r="FA29" s="118"/>
      <c r="FB29" s="116"/>
      <c r="FC29" s="116"/>
      <c r="FD29" s="117"/>
      <c r="FE29" s="116"/>
      <c r="FF29" s="116"/>
      <c r="FG29" s="116"/>
      <c r="FH29" s="117"/>
      <c r="FI29" s="118"/>
      <c r="FJ29" s="116"/>
      <c r="FK29" s="116"/>
      <c r="FL29" s="117"/>
      <c r="FM29" s="118"/>
      <c r="FN29" s="116"/>
      <c r="FO29" s="116"/>
      <c r="FP29" s="117"/>
      <c r="FQ29" s="118"/>
      <c r="FR29" s="116"/>
      <c r="FS29" s="116"/>
      <c r="FT29" s="117"/>
      <c r="FU29" s="118"/>
      <c r="FV29" s="116"/>
      <c r="FW29" s="116"/>
      <c r="FX29" s="117"/>
      <c r="FY29" s="118"/>
      <c r="FZ29" s="116"/>
      <c r="GA29" s="116"/>
      <c r="GB29" s="117"/>
      <c r="GC29" s="118"/>
      <c r="GD29" s="116"/>
      <c r="GE29" s="116"/>
      <c r="GF29" s="117"/>
      <c r="GG29" s="116"/>
    </row>
    <row r="30" spans="1:189" ht="16">
      <c r="A30" s="119" t="s">
        <v>248</v>
      </c>
      <c r="B30" s="141" t="s">
        <v>249</v>
      </c>
      <c r="C30" s="120" t="s">
        <v>218</v>
      </c>
      <c r="D30" s="121"/>
      <c r="E30" s="122">
        <v>0</v>
      </c>
      <c r="F30" s="123">
        <v>0</v>
      </c>
      <c r="G30" s="123">
        <v>0</v>
      </c>
      <c r="H30" s="124">
        <v>0</v>
      </c>
      <c r="I30" s="125">
        <v>0</v>
      </c>
      <c r="J30" s="123">
        <v>0</v>
      </c>
      <c r="K30" s="123">
        <v>0</v>
      </c>
      <c r="L30" s="124">
        <v>0</v>
      </c>
      <c r="M30" s="125">
        <v>0</v>
      </c>
      <c r="N30" s="123">
        <v>0</v>
      </c>
      <c r="O30" s="123">
        <v>0</v>
      </c>
      <c r="P30" s="124">
        <v>0</v>
      </c>
      <c r="Q30" s="125">
        <v>0</v>
      </c>
      <c r="R30" s="123">
        <v>0</v>
      </c>
      <c r="S30" s="123">
        <v>0</v>
      </c>
      <c r="T30" s="124">
        <v>0</v>
      </c>
      <c r="U30" s="125">
        <v>0</v>
      </c>
      <c r="V30" s="123">
        <v>0</v>
      </c>
      <c r="W30" s="123">
        <v>0</v>
      </c>
      <c r="X30" s="124">
        <v>0</v>
      </c>
      <c r="Y30" s="125">
        <v>0</v>
      </c>
      <c r="Z30" s="123">
        <v>0</v>
      </c>
      <c r="AA30" s="123">
        <v>0</v>
      </c>
      <c r="AB30" s="124">
        <v>0</v>
      </c>
      <c r="AC30" s="125">
        <v>0</v>
      </c>
      <c r="AD30" s="123">
        <v>0</v>
      </c>
      <c r="AE30" s="123">
        <v>0</v>
      </c>
      <c r="AF30" s="124">
        <v>0</v>
      </c>
      <c r="AG30" s="125">
        <v>0</v>
      </c>
      <c r="AH30" s="123">
        <v>0</v>
      </c>
      <c r="AI30" s="123">
        <v>0</v>
      </c>
      <c r="AJ30" s="124">
        <v>0</v>
      </c>
      <c r="AK30" s="125">
        <v>0</v>
      </c>
      <c r="AL30" s="123">
        <v>0</v>
      </c>
      <c r="AM30" s="123">
        <v>0</v>
      </c>
      <c r="AN30" s="124">
        <v>0</v>
      </c>
      <c r="AO30" s="125">
        <v>0</v>
      </c>
      <c r="AP30" s="123">
        <v>0</v>
      </c>
      <c r="AQ30" s="123">
        <v>0</v>
      </c>
      <c r="AR30" s="124">
        <v>0</v>
      </c>
      <c r="AS30" s="125">
        <v>0</v>
      </c>
      <c r="AT30" s="123">
        <v>0</v>
      </c>
      <c r="AU30" s="123">
        <v>0</v>
      </c>
      <c r="AV30" s="124">
        <v>0</v>
      </c>
      <c r="AW30" s="125">
        <v>0</v>
      </c>
      <c r="AX30" s="123">
        <v>0</v>
      </c>
      <c r="AY30" s="123">
        <v>0</v>
      </c>
      <c r="AZ30" s="124">
        <v>0</v>
      </c>
      <c r="BA30" s="125">
        <v>0</v>
      </c>
      <c r="BB30" s="123">
        <v>0</v>
      </c>
      <c r="BC30" s="123">
        <v>0</v>
      </c>
      <c r="BD30" s="124">
        <v>0</v>
      </c>
      <c r="BE30" s="125">
        <v>0</v>
      </c>
      <c r="BF30" s="123">
        <v>0</v>
      </c>
      <c r="BG30" s="123">
        <v>0</v>
      </c>
      <c r="BH30" s="124">
        <v>0</v>
      </c>
      <c r="BI30" s="125">
        <v>0</v>
      </c>
      <c r="BJ30" s="123">
        <v>0</v>
      </c>
      <c r="BK30" s="123">
        <v>0</v>
      </c>
      <c r="BL30" s="124">
        <v>0</v>
      </c>
      <c r="BM30" s="125">
        <v>0</v>
      </c>
      <c r="BN30" s="123">
        <v>0</v>
      </c>
      <c r="BO30" s="123">
        <v>0</v>
      </c>
      <c r="BP30" s="124">
        <v>0</v>
      </c>
      <c r="BQ30" s="125">
        <v>0</v>
      </c>
      <c r="BR30" s="123">
        <v>0</v>
      </c>
      <c r="BS30" s="123">
        <v>0</v>
      </c>
      <c r="BT30" s="124">
        <v>0</v>
      </c>
      <c r="BU30" s="125">
        <v>0</v>
      </c>
      <c r="BV30" s="123">
        <v>0</v>
      </c>
      <c r="BW30" s="123">
        <v>0</v>
      </c>
      <c r="BX30" s="124">
        <v>0</v>
      </c>
      <c r="BY30" s="125">
        <v>0</v>
      </c>
      <c r="BZ30" s="123">
        <v>0</v>
      </c>
      <c r="CA30" s="123">
        <v>0</v>
      </c>
      <c r="CB30" s="124">
        <v>0</v>
      </c>
      <c r="CC30" s="125">
        <v>0</v>
      </c>
      <c r="CD30" s="123">
        <v>0</v>
      </c>
      <c r="CE30" s="123">
        <v>0</v>
      </c>
      <c r="CF30" s="124">
        <v>0</v>
      </c>
      <c r="CG30" s="125">
        <v>0</v>
      </c>
      <c r="CH30" s="123">
        <v>0</v>
      </c>
      <c r="CI30" s="123">
        <v>0</v>
      </c>
      <c r="CJ30" s="124">
        <v>0</v>
      </c>
      <c r="CK30" s="125">
        <v>0</v>
      </c>
      <c r="CL30" s="123">
        <v>0</v>
      </c>
      <c r="CM30" s="123">
        <v>0</v>
      </c>
      <c r="CN30" s="124">
        <v>0</v>
      </c>
      <c r="CO30" s="125">
        <v>0</v>
      </c>
      <c r="CP30" s="123">
        <v>0</v>
      </c>
      <c r="CQ30" s="123">
        <v>0</v>
      </c>
      <c r="CR30" s="124">
        <v>0</v>
      </c>
      <c r="CS30" s="125">
        <v>0</v>
      </c>
      <c r="CT30" s="123">
        <v>0</v>
      </c>
      <c r="CU30" s="123">
        <v>0</v>
      </c>
      <c r="CV30" s="124">
        <v>0</v>
      </c>
      <c r="CW30" s="125">
        <v>0</v>
      </c>
      <c r="CX30" s="123">
        <v>0</v>
      </c>
      <c r="CY30" s="123">
        <v>0</v>
      </c>
      <c r="CZ30" s="124">
        <v>0</v>
      </c>
      <c r="DA30" s="125">
        <v>0</v>
      </c>
      <c r="DB30" s="123">
        <v>0</v>
      </c>
      <c r="DC30" s="123">
        <v>0</v>
      </c>
      <c r="DD30" s="124">
        <v>0</v>
      </c>
      <c r="DE30" s="125">
        <v>0</v>
      </c>
      <c r="DF30" s="123">
        <v>0</v>
      </c>
      <c r="DG30" s="123">
        <v>0</v>
      </c>
      <c r="DH30" s="124">
        <v>0</v>
      </c>
      <c r="DI30" s="125">
        <v>0</v>
      </c>
      <c r="DJ30" s="123">
        <v>0</v>
      </c>
      <c r="DK30" s="123">
        <v>0</v>
      </c>
      <c r="DL30" s="124">
        <v>0</v>
      </c>
      <c r="DM30" s="125">
        <v>0</v>
      </c>
      <c r="DN30" s="123">
        <v>0</v>
      </c>
      <c r="DO30" s="123">
        <v>0</v>
      </c>
      <c r="DP30" s="124">
        <v>0</v>
      </c>
      <c r="DQ30" s="125">
        <v>0</v>
      </c>
      <c r="DR30" s="123">
        <v>0</v>
      </c>
      <c r="DS30" s="123">
        <v>0</v>
      </c>
      <c r="DT30" s="124">
        <v>0</v>
      </c>
      <c r="DU30" s="125">
        <v>0</v>
      </c>
      <c r="DV30" s="123">
        <v>0</v>
      </c>
      <c r="DW30" s="123">
        <v>0</v>
      </c>
      <c r="DX30" s="124">
        <v>0</v>
      </c>
      <c r="DY30" s="125">
        <v>0</v>
      </c>
      <c r="DZ30" s="123">
        <v>0</v>
      </c>
      <c r="EA30" s="123">
        <v>0</v>
      </c>
      <c r="EB30" s="124">
        <v>0</v>
      </c>
      <c r="EC30" s="125">
        <v>0</v>
      </c>
      <c r="ED30" s="123">
        <v>0</v>
      </c>
      <c r="EE30" s="123">
        <v>0</v>
      </c>
      <c r="EF30" s="124">
        <v>0</v>
      </c>
      <c r="EG30" s="125">
        <v>0</v>
      </c>
      <c r="EH30" s="123">
        <v>0</v>
      </c>
      <c r="EI30" s="123">
        <v>0</v>
      </c>
      <c r="EJ30" s="124">
        <v>0</v>
      </c>
      <c r="EK30" s="125">
        <v>0</v>
      </c>
      <c r="EL30" s="123">
        <v>0</v>
      </c>
      <c r="EM30" s="123">
        <v>0</v>
      </c>
      <c r="EN30" s="124">
        <v>0</v>
      </c>
      <c r="EO30" s="125">
        <v>0</v>
      </c>
      <c r="EP30" s="123">
        <v>0</v>
      </c>
      <c r="EQ30" s="123">
        <v>0</v>
      </c>
      <c r="ER30" s="124">
        <v>0</v>
      </c>
      <c r="ES30" s="125">
        <v>0</v>
      </c>
      <c r="ET30" s="123">
        <v>0</v>
      </c>
      <c r="EU30" s="123">
        <v>0</v>
      </c>
      <c r="EV30" s="124">
        <v>0</v>
      </c>
      <c r="EW30" s="125">
        <v>0</v>
      </c>
      <c r="EX30" s="123">
        <v>0</v>
      </c>
      <c r="EY30" s="123">
        <v>0</v>
      </c>
      <c r="EZ30" s="124">
        <v>0</v>
      </c>
      <c r="FA30" s="125">
        <v>0</v>
      </c>
      <c r="FB30" s="123">
        <v>0</v>
      </c>
      <c r="FC30" s="123">
        <v>0</v>
      </c>
      <c r="FD30" s="124">
        <v>7180.2</v>
      </c>
      <c r="FE30" s="163">
        <f t="shared" ref="FE30:FL30" si="44">+FE31+FE46</f>
        <v>7384.07</v>
      </c>
      <c r="FF30" s="163">
        <f t="shared" si="44"/>
        <v>7403.424</v>
      </c>
      <c r="FG30" s="163">
        <f t="shared" si="44"/>
        <v>7574.92</v>
      </c>
      <c r="FH30" s="163">
        <f t="shared" si="44"/>
        <v>7825.99</v>
      </c>
      <c r="FI30" s="163">
        <f t="shared" si="44"/>
        <v>8048.8399999999992</v>
      </c>
      <c r="FJ30" s="163">
        <f t="shared" si="44"/>
        <v>8498.6929999999993</v>
      </c>
      <c r="FK30" s="163">
        <f t="shared" si="44"/>
        <v>8979.3510000000006</v>
      </c>
      <c r="FL30" s="163">
        <f t="shared" si="44"/>
        <v>8904.8189999999995</v>
      </c>
      <c r="FM30" s="125">
        <v>9072.2999999999993</v>
      </c>
      <c r="FN30" s="123">
        <v>9726.9090868625663</v>
      </c>
      <c r="FO30" s="123">
        <v>9976.9500000000007</v>
      </c>
      <c r="FP30" s="124">
        <f>+FP31+FP46</f>
        <v>10297.040000000001</v>
      </c>
      <c r="FQ30" s="124">
        <v>10814.83</v>
      </c>
      <c r="FR30" s="124">
        <v>11315.219000000001</v>
      </c>
      <c r="FS30" s="124">
        <v>11454.289999999999</v>
      </c>
      <c r="FT30" s="125">
        <f>+FT31+FT46</f>
        <v>11782.8</v>
      </c>
      <c r="FU30" s="125">
        <v>12631.307999999999</v>
      </c>
      <c r="FV30" s="123">
        <v>13331.828</v>
      </c>
      <c r="FW30" s="123">
        <v>13751.781000000003</v>
      </c>
      <c r="FX30" s="124">
        <v>13854.25</v>
      </c>
      <c r="FY30" s="125">
        <v>14254.901000000002</v>
      </c>
      <c r="FZ30" s="123">
        <v>14991.800000000001</v>
      </c>
      <c r="GA30" s="123">
        <v>0</v>
      </c>
      <c r="GB30" s="124">
        <v>0</v>
      </c>
      <c r="GC30" s="125">
        <v>0</v>
      </c>
      <c r="GD30" s="123">
        <v>0</v>
      </c>
      <c r="GE30" s="123">
        <v>0</v>
      </c>
      <c r="GF30" s="124">
        <v>0</v>
      </c>
      <c r="GG30" s="124"/>
    </row>
    <row r="31" spans="1:189" ht="16">
      <c r="A31" s="119" t="s">
        <v>250</v>
      </c>
      <c r="B31" s="164" t="s">
        <v>251</v>
      </c>
      <c r="C31" s="165" t="s">
        <v>97</v>
      </c>
      <c r="D31" s="166"/>
      <c r="E31" s="122">
        <v>0</v>
      </c>
      <c r="F31" s="123">
        <v>0</v>
      </c>
      <c r="G31" s="123">
        <v>0</v>
      </c>
      <c r="H31" s="124">
        <v>0</v>
      </c>
      <c r="I31" s="125">
        <v>0</v>
      </c>
      <c r="J31" s="123">
        <v>0</v>
      </c>
      <c r="K31" s="123">
        <v>0</v>
      </c>
      <c r="L31" s="124">
        <v>0</v>
      </c>
      <c r="M31" s="125">
        <v>0</v>
      </c>
      <c r="N31" s="123">
        <v>0</v>
      </c>
      <c r="O31" s="123">
        <v>0</v>
      </c>
      <c r="P31" s="124">
        <v>0</v>
      </c>
      <c r="Q31" s="125">
        <v>0</v>
      </c>
      <c r="R31" s="123">
        <v>0</v>
      </c>
      <c r="S31" s="123">
        <v>0</v>
      </c>
      <c r="T31" s="124">
        <v>0</v>
      </c>
      <c r="U31" s="125">
        <v>0</v>
      </c>
      <c r="V31" s="123">
        <v>0</v>
      </c>
      <c r="W31" s="123">
        <v>0</v>
      </c>
      <c r="X31" s="124">
        <v>0</v>
      </c>
      <c r="Y31" s="125">
        <v>0</v>
      </c>
      <c r="Z31" s="123">
        <v>0</v>
      </c>
      <c r="AA31" s="123">
        <v>0</v>
      </c>
      <c r="AB31" s="124">
        <v>0</v>
      </c>
      <c r="AC31" s="125">
        <v>0</v>
      </c>
      <c r="AD31" s="123">
        <v>0</v>
      </c>
      <c r="AE31" s="123">
        <v>0</v>
      </c>
      <c r="AF31" s="124">
        <v>0</v>
      </c>
      <c r="AG31" s="125">
        <v>0</v>
      </c>
      <c r="AH31" s="123">
        <v>0</v>
      </c>
      <c r="AI31" s="123">
        <v>0</v>
      </c>
      <c r="AJ31" s="124">
        <v>0</v>
      </c>
      <c r="AK31" s="125">
        <v>0</v>
      </c>
      <c r="AL31" s="123">
        <v>0</v>
      </c>
      <c r="AM31" s="123">
        <v>0</v>
      </c>
      <c r="AN31" s="124">
        <v>0</v>
      </c>
      <c r="AO31" s="125">
        <v>0</v>
      </c>
      <c r="AP31" s="123">
        <v>0</v>
      </c>
      <c r="AQ31" s="123">
        <v>0</v>
      </c>
      <c r="AR31" s="124">
        <v>0</v>
      </c>
      <c r="AS31" s="125">
        <v>0</v>
      </c>
      <c r="AT31" s="123">
        <v>0</v>
      </c>
      <c r="AU31" s="123">
        <v>0</v>
      </c>
      <c r="AV31" s="124">
        <v>0</v>
      </c>
      <c r="AW31" s="125">
        <v>0</v>
      </c>
      <c r="AX31" s="123">
        <v>0</v>
      </c>
      <c r="AY31" s="123">
        <v>0</v>
      </c>
      <c r="AZ31" s="124">
        <v>0</v>
      </c>
      <c r="BA31" s="125">
        <v>0</v>
      </c>
      <c r="BB31" s="123">
        <v>0</v>
      </c>
      <c r="BC31" s="123">
        <v>0</v>
      </c>
      <c r="BD31" s="124">
        <v>0</v>
      </c>
      <c r="BE31" s="125">
        <v>0</v>
      </c>
      <c r="BF31" s="123">
        <v>0</v>
      </c>
      <c r="BG31" s="123">
        <v>0</v>
      </c>
      <c r="BH31" s="124">
        <v>0</v>
      </c>
      <c r="BI31" s="125">
        <v>0</v>
      </c>
      <c r="BJ31" s="123">
        <v>0</v>
      </c>
      <c r="BK31" s="123">
        <v>0</v>
      </c>
      <c r="BL31" s="124">
        <v>0</v>
      </c>
      <c r="BM31" s="125">
        <v>0</v>
      </c>
      <c r="BN31" s="123">
        <v>0</v>
      </c>
      <c r="BO31" s="123">
        <v>0</v>
      </c>
      <c r="BP31" s="124">
        <v>0</v>
      </c>
      <c r="BQ31" s="125">
        <v>0</v>
      </c>
      <c r="BR31" s="123">
        <v>0</v>
      </c>
      <c r="BS31" s="123">
        <v>0</v>
      </c>
      <c r="BT31" s="124">
        <v>0</v>
      </c>
      <c r="BU31" s="125">
        <v>0</v>
      </c>
      <c r="BV31" s="123">
        <v>0</v>
      </c>
      <c r="BW31" s="123">
        <v>0</v>
      </c>
      <c r="BX31" s="124">
        <v>0</v>
      </c>
      <c r="BY31" s="125">
        <v>0</v>
      </c>
      <c r="BZ31" s="123">
        <v>0</v>
      </c>
      <c r="CA31" s="123">
        <v>0</v>
      </c>
      <c r="CB31" s="124">
        <v>0</v>
      </c>
      <c r="CC31" s="125">
        <v>0</v>
      </c>
      <c r="CD31" s="123">
        <v>0</v>
      </c>
      <c r="CE31" s="123">
        <v>0</v>
      </c>
      <c r="CF31" s="124">
        <v>0</v>
      </c>
      <c r="CG31" s="125">
        <v>0</v>
      </c>
      <c r="CH31" s="123">
        <v>0</v>
      </c>
      <c r="CI31" s="123">
        <v>0</v>
      </c>
      <c r="CJ31" s="124">
        <v>0</v>
      </c>
      <c r="CK31" s="125">
        <v>0</v>
      </c>
      <c r="CL31" s="123">
        <v>0</v>
      </c>
      <c r="CM31" s="123">
        <v>0</v>
      </c>
      <c r="CN31" s="124">
        <v>0</v>
      </c>
      <c r="CO31" s="125">
        <v>0</v>
      </c>
      <c r="CP31" s="123">
        <v>0</v>
      </c>
      <c r="CQ31" s="123">
        <v>0</v>
      </c>
      <c r="CR31" s="124">
        <v>0</v>
      </c>
      <c r="CS31" s="125">
        <v>0</v>
      </c>
      <c r="CT31" s="123">
        <v>0</v>
      </c>
      <c r="CU31" s="123">
        <v>0</v>
      </c>
      <c r="CV31" s="124">
        <v>0</v>
      </c>
      <c r="CW31" s="125">
        <v>0</v>
      </c>
      <c r="CX31" s="123">
        <v>0</v>
      </c>
      <c r="CY31" s="123">
        <v>0</v>
      </c>
      <c r="CZ31" s="124">
        <v>0</v>
      </c>
      <c r="DA31" s="125">
        <v>0</v>
      </c>
      <c r="DB31" s="123">
        <v>0</v>
      </c>
      <c r="DC31" s="123">
        <v>0</v>
      </c>
      <c r="DD31" s="124">
        <v>0</v>
      </c>
      <c r="DE31" s="125">
        <v>0</v>
      </c>
      <c r="DF31" s="123">
        <v>0</v>
      </c>
      <c r="DG31" s="123">
        <v>0</v>
      </c>
      <c r="DH31" s="124">
        <v>0</v>
      </c>
      <c r="DI31" s="125">
        <v>0</v>
      </c>
      <c r="DJ31" s="123">
        <v>0</v>
      </c>
      <c r="DK31" s="123">
        <v>0</v>
      </c>
      <c r="DL31" s="124">
        <v>0</v>
      </c>
      <c r="DM31" s="125">
        <v>0</v>
      </c>
      <c r="DN31" s="123">
        <v>0</v>
      </c>
      <c r="DO31" s="123">
        <v>0</v>
      </c>
      <c r="DP31" s="124">
        <v>0</v>
      </c>
      <c r="DQ31" s="125">
        <v>0</v>
      </c>
      <c r="DR31" s="123">
        <v>0</v>
      </c>
      <c r="DS31" s="123">
        <v>0</v>
      </c>
      <c r="DT31" s="124">
        <v>0</v>
      </c>
      <c r="DU31" s="125">
        <v>0</v>
      </c>
      <c r="DV31" s="123">
        <v>0</v>
      </c>
      <c r="DW31" s="123">
        <v>0</v>
      </c>
      <c r="DX31" s="124">
        <v>0</v>
      </c>
      <c r="DY31" s="125">
        <v>0</v>
      </c>
      <c r="DZ31" s="123">
        <v>0</v>
      </c>
      <c r="EA31" s="123">
        <v>0</v>
      </c>
      <c r="EB31" s="124">
        <v>0</v>
      </c>
      <c r="EC31" s="125">
        <v>0</v>
      </c>
      <c r="ED31" s="123">
        <v>0</v>
      </c>
      <c r="EE31" s="123">
        <v>0</v>
      </c>
      <c r="EF31" s="124">
        <v>0</v>
      </c>
      <c r="EG31" s="125">
        <v>0</v>
      </c>
      <c r="EH31" s="123">
        <v>0</v>
      </c>
      <c r="EI31" s="123">
        <v>0</v>
      </c>
      <c r="EJ31" s="124">
        <v>0</v>
      </c>
      <c r="EK31" s="125">
        <v>0</v>
      </c>
      <c r="EL31" s="123">
        <v>0</v>
      </c>
      <c r="EM31" s="123">
        <v>0</v>
      </c>
      <c r="EN31" s="124">
        <v>0</v>
      </c>
      <c r="EO31" s="125">
        <v>0</v>
      </c>
      <c r="EP31" s="123">
        <v>0</v>
      </c>
      <c r="EQ31" s="123">
        <v>0</v>
      </c>
      <c r="ER31" s="124">
        <v>0</v>
      </c>
      <c r="ES31" s="125">
        <v>0</v>
      </c>
      <c r="ET31" s="123">
        <v>0</v>
      </c>
      <c r="EU31" s="123">
        <v>0</v>
      </c>
      <c r="EV31" s="124">
        <v>0</v>
      </c>
      <c r="EW31" s="125">
        <v>0</v>
      </c>
      <c r="EX31" s="123">
        <v>0</v>
      </c>
      <c r="EY31" s="123">
        <v>0</v>
      </c>
      <c r="EZ31" s="124">
        <v>0</v>
      </c>
      <c r="FA31" s="125">
        <v>0</v>
      </c>
      <c r="FB31" s="123">
        <v>0</v>
      </c>
      <c r="FC31" s="123">
        <v>0</v>
      </c>
      <c r="FD31" s="163">
        <f t="shared" ref="FD31:FF31" si="45">+FD36+FD38+FD41+FD44</f>
        <v>782.84</v>
      </c>
      <c r="FE31" s="163">
        <f t="shared" si="45"/>
        <v>698.41</v>
      </c>
      <c r="FF31" s="163">
        <f t="shared" si="45"/>
        <v>708.26800000000014</v>
      </c>
      <c r="FG31" s="163">
        <f>+FG36+FG38+FG41+FG44</f>
        <v>687.90999999999985</v>
      </c>
      <c r="FH31" s="163">
        <f t="shared" ref="FH31:FL31" si="46">+FH36+FH38+FH41+FH44</f>
        <v>862.4</v>
      </c>
      <c r="FI31" s="163">
        <f t="shared" si="46"/>
        <v>942.024</v>
      </c>
      <c r="FJ31" s="163">
        <f t="shared" si="46"/>
        <v>1360.38</v>
      </c>
      <c r="FK31" s="163">
        <f t="shared" si="46"/>
        <v>1464.1149999999998</v>
      </c>
      <c r="FL31" s="163">
        <f t="shared" si="46"/>
        <v>1479.77</v>
      </c>
      <c r="FM31" s="125">
        <v>1635.04</v>
      </c>
      <c r="FN31" s="123">
        <v>1544.8973962840919</v>
      </c>
      <c r="FO31" s="123">
        <f>+FO36+FO38</f>
        <v>1824.0423930173354</v>
      </c>
      <c r="FP31" s="123">
        <f>+FP36+FP38</f>
        <v>1936.3650500000001</v>
      </c>
      <c r="FQ31" s="123">
        <v>2326.75</v>
      </c>
      <c r="FR31" s="123">
        <v>2590.5039999999999</v>
      </c>
      <c r="FS31" s="123">
        <v>2554.9</v>
      </c>
      <c r="FT31" s="123">
        <v>2731.8</v>
      </c>
      <c r="FU31" s="125">
        <v>3047.8999999999996</v>
      </c>
      <c r="FV31" s="123">
        <v>3162.8300000000004</v>
      </c>
      <c r="FW31" s="123">
        <v>3407.9700000000003</v>
      </c>
      <c r="FX31" s="124">
        <v>3765.2700000000004</v>
      </c>
      <c r="FY31" s="125">
        <v>3981.1200000000003</v>
      </c>
      <c r="FZ31" s="123">
        <v>3902.85</v>
      </c>
      <c r="GA31" s="123">
        <v>0</v>
      </c>
      <c r="GB31" s="124">
        <v>0</v>
      </c>
      <c r="GC31" s="125">
        <v>0</v>
      </c>
      <c r="GD31" s="123">
        <v>0</v>
      </c>
      <c r="GE31" s="123">
        <v>0</v>
      </c>
      <c r="GF31" s="124">
        <v>0</v>
      </c>
      <c r="GG31" s="123"/>
    </row>
    <row r="32" spans="1:189" ht="16">
      <c r="A32" s="119" t="s">
        <v>252</v>
      </c>
      <c r="B32" s="167" t="s">
        <v>253</v>
      </c>
      <c r="C32" s="168" t="s">
        <v>254</v>
      </c>
      <c r="D32" s="169"/>
      <c r="E32" s="153"/>
      <c r="F32" s="154"/>
      <c r="G32" s="154"/>
      <c r="H32" s="155"/>
      <c r="I32" s="156"/>
      <c r="J32" s="154"/>
      <c r="K32" s="154"/>
      <c r="L32" s="155"/>
      <c r="M32" s="156"/>
      <c r="N32" s="154"/>
      <c r="O32" s="154"/>
      <c r="P32" s="155"/>
      <c r="Q32" s="156"/>
      <c r="R32" s="154"/>
      <c r="S32" s="154"/>
      <c r="T32" s="155"/>
      <c r="U32" s="156"/>
      <c r="V32" s="154"/>
      <c r="W32" s="154"/>
      <c r="X32" s="155"/>
      <c r="Y32" s="156"/>
      <c r="Z32" s="154"/>
      <c r="AA32" s="154"/>
      <c r="AB32" s="155"/>
      <c r="AC32" s="156"/>
      <c r="AD32" s="154"/>
      <c r="AE32" s="154"/>
      <c r="AF32" s="155"/>
      <c r="AG32" s="156"/>
      <c r="AH32" s="154"/>
      <c r="AI32" s="154"/>
      <c r="AJ32" s="155"/>
      <c r="AK32" s="156"/>
      <c r="AL32" s="154"/>
      <c r="AM32" s="154"/>
      <c r="AN32" s="155"/>
      <c r="AO32" s="156"/>
      <c r="AP32" s="154"/>
      <c r="AQ32" s="154"/>
      <c r="AR32" s="155"/>
      <c r="AS32" s="156"/>
      <c r="AT32" s="154"/>
      <c r="AU32" s="154"/>
      <c r="AV32" s="155"/>
      <c r="AW32" s="156"/>
      <c r="AX32" s="154"/>
      <c r="AY32" s="154"/>
      <c r="AZ32" s="155"/>
      <c r="BA32" s="156"/>
      <c r="BB32" s="154"/>
      <c r="BC32" s="154"/>
      <c r="BD32" s="155"/>
      <c r="BE32" s="156"/>
      <c r="BF32" s="154"/>
      <c r="BG32" s="154"/>
      <c r="BH32" s="155"/>
      <c r="BI32" s="156"/>
      <c r="BJ32" s="154"/>
      <c r="BK32" s="154"/>
      <c r="BL32" s="155"/>
      <c r="BM32" s="156"/>
      <c r="BN32" s="154"/>
      <c r="BO32" s="154"/>
      <c r="BP32" s="155"/>
      <c r="BQ32" s="156"/>
      <c r="BR32" s="154"/>
      <c r="BS32" s="154"/>
      <c r="BT32" s="155"/>
      <c r="BU32" s="156"/>
      <c r="BV32" s="154"/>
      <c r="BW32" s="154"/>
      <c r="BX32" s="155"/>
      <c r="BY32" s="156"/>
      <c r="BZ32" s="154"/>
      <c r="CA32" s="154"/>
      <c r="CB32" s="155"/>
      <c r="CC32" s="156"/>
      <c r="CD32" s="154"/>
      <c r="CE32" s="154"/>
      <c r="CF32" s="155"/>
      <c r="CG32" s="156"/>
      <c r="CH32" s="154"/>
      <c r="CI32" s="154"/>
      <c r="CJ32" s="155"/>
      <c r="CK32" s="156"/>
      <c r="CL32" s="154"/>
      <c r="CM32" s="154"/>
      <c r="CN32" s="155"/>
      <c r="CO32" s="156"/>
      <c r="CP32" s="154"/>
      <c r="CQ32" s="154"/>
      <c r="CR32" s="155"/>
      <c r="CS32" s="156"/>
      <c r="CT32" s="154"/>
      <c r="CU32" s="154"/>
      <c r="CV32" s="155"/>
      <c r="CW32" s="156"/>
      <c r="CX32" s="154"/>
      <c r="CY32" s="154"/>
      <c r="CZ32" s="155"/>
      <c r="DA32" s="156"/>
      <c r="DB32" s="154"/>
      <c r="DC32" s="154"/>
      <c r="DD32" s="155"/>
      <c r="DE32" s="156"/>
      <c r="DF32" s="154"/>
      <c r="DG32" s="154"/>
      <c r="DH32" s="155"/>
      <c r="DI32" s="156"/>
      <c r="DJ32" s="154"/>
      <c r="DK32" s="154"/>
      <c r="DL32" s="155"/>
      <c r="DM32" s="156"/>
      <c r="DN32" s="154"/>
      <c r="DO32" s="154"/>
      <c r="DP32" s="155"/>
      <c r="DQ32" s="156"/>
      <c r="DR32" s="154"/>
      <c r="DS32" s="154"/>
      <c r="DT32" s="155"/>
      <c r="DU32" s="156"/>
      <c r="DV32" s="154"/>
      <c r="DW32" s="154"/>
      <c r="DX32" s="155"/>
      <c r="DY32" s="156"/>
      <c r="DZ32" s="154"/>
      <c r="EA32" s="154"/>
      <c r="EB32" s="155"/>
      <c r="EC32" s="156"/>
      <c r="ED32" s="154"/>
      <c r="EE32" s="154"/>
      <c r="EF32" s="155"/>
      <c r="EG32" s="156"/>
      <c r="EH32" s="154"/>
      <c r="EI32" s="154"/>
      <c r="EJ32" s="155"/>
      <c r="EK32" s="156"/>
      <c r="EL32" s="154"/>
      <c r="EM32" s="154"/>
      <c r="EN32" s="155"/>
      <c r="EO32" s="156"/>
      <c r="EP32" s="154"/>
      <c r="EQ32" s="154"/>
      <c r="ER32" s="155"/>
      <c r="ES32" s="156"/>
      <c r="ET32" s="154"/>
      <c r="EU32" s="154"/>
      <c r="EV32" s="155"/>
      <c r="EW32" s="156"/>
      <c r="EX32" s="154"/>
      <c r="EY32" s="154"/>
      <c r="EZ32" s="155"/>
      <c r="FA32" s="156"/>
      <c r="FB32" s="154"/>
      <c r="FC32" s="154"/>
      <c r="FD32" s="155"/>
      <c r="FE32" s="154"/>
      <c r="FF32" s="154"/>
      <c r="FG32" s="154"/>
      <c r="FH32" s="155"/>
      <c r="FI32" s="156"/>
      <c r="FJ32" s="154"/>
      <c r="FK32" s="154"/>
      <c r="FL32" s="155"/>
      <c r="FM32" s="156"/>
      <c r="FN32" s="154"/>
      <c r="FO32" s="154"/>
      <c r="FP32" s="155"/>
      <c r="FQ32" s="156"/>
      <c r="FR32" s="154"/>
      <c r="FS32" s="154"/>
      <c r="FT32" s="155"/>
      <c r="FU32" s="156"/>
      <c r="FV32" s="154"/>
      <c r="FW32" s="154"/>
      <c r="FX32" s="155"/>
      <c r="FY32" s="156"/>
      <c r="FZ32" s="154"/>
      <c r="GA32" s="154"/>
      <c r="GB32" s="155"/>
      <c r="GC32" s="156"/>
      <c r="GD32" s="154"/>
      <c r="GE32" s="154"/>
      <c r="GF32" s="155"/>
      <c r="GG32" s="154"/>
    </row>
    <row r="33" spans="1:191" ht="16">
      <c r="A33" s="119" t="s">
        <v>255</v>
      </c>
      <c r="B33" s="170"/>
      <c r="C33" s="171" t="s">
        <v>256</v>
      </c>
      <c r="D33" s="159"/>
      <c r="E33" s="122"/>
      <c r="F33" s="123"/>
      <c r="G33" s="123"/>
      <c r="H33" s="124"/>
      <c r="I33" s="125"/>
      <c r="J33" s="123"/>
      <c r="K33" s="123"/>
      <c r="L33" s="124"/>
      <c r="M33" s="125"/>
      <c r="N33" s="123"/>
      <c r="O33" s="123"/>
      <c r="P33" s="124"/>
      <c r="Q33" s="125"/>
      <c r="R33" s="123"/>
      <c r="S33" s="123"/>
      <c r="T33" s="124"/>
      <c r="U33" s="125"/>
      <c r="V33" s="123"/>
      <c r="W33" s="123"/>
      <c r="X33" s="124"/>
      <c r="Y33" s="125"/>
      <c r="Z33" s="123"/>
      <c r="AA33" s="123"/>
      <c r="AB33" s="124"/>
      <c r="AC33" s="125"/>
      <c r="AD33" s="123"/>
      <c r="AE33" s="123"/>
      <c r="AF33" s="124"/>
      <c r="AG33" s="125"/>
      <c r="AH33" s="123"/>
      <c r="AI33" s="123"/>
      <c r="AJ33" s="124"/>
      <c r="AK33" s="125"/>
      <c r="AL33" s="123"/>
      <c r="AM33" s="123"/>
      <c r="AN33" s="124"/>
      <c r="AO33" s="125"/>
      <c r="AP33" s="123"/>
      <c r="AQ33" s="123"/>
      <c r="AR33" s="124"/>
      <c r="AS33" s="125"/>
      <c r="AT33" s="123"/>
      <c r="AU33" s="123"/>
      <c r="AV33" s="124"/>
      <c r="AW33" s="125"/>
      <c r="AX33" s="123"/>
      <c r="AY33" s="123"/>
      <c r="AZ33" s="124"/>
      <c r="BA33" s="125"/>
      <c r="BB33" s="123"/>
      <c r="BC33" s="123"/>
      <c r="BD33" s="124"/>
      <c r="BE33" s="125"/>
      <c r="BF33" s="123"/>
      <c r="BG33" s="123"/>
      <c r="BH33" s="124"/>
      <c r="BI33" s="125"/>
      <c r="BJ33" s="123"/>
      <c r="BK33" s="123"/>
      <c r="BL33" s="124"/>
      <c r="BM33" s="125"/>
      <c r="BN33" s="123"/>
      <c r="BO33" s="123"/>
      <c r="BP33" s="124"/>
      <c r="BQ33" s="125"/>
      <c r="BR33" s="123"/>
      <c r="BS33" s="123"/>
      <c r="BT33" s="124"/>
      <c r="BU33" s="125"/>
      <c r="BV33" s="123"/>
      <c r="BW33" s="123"/>
      <c r="BX33" s="124"/>
      <c r="BY33" s="125"/>
      <c r="BZ33" s="123"/>
      <c r="CA33" s="123"/>
      <c r="CB33" s="124"/>
      <c r="CC33" s="125"/>
      <c r="CD33" s="123"/>
      <c r="CE33" s="123"/>
      <c r="CF33" s="124"/>
      <c r="CG33" s="125"/>
      <c r="CH33" s="123"/>
      <c r="CI33" s="123"/>
      <c r="CJ33" s="124"/>
      <c r="CK33" s="125"/>
      <c r="CL33" s="123"/>
      <c r="CM33" s="123"/>
      <c r="CN33" s="124"/>
      <c r="CO33" s="125"/>
      <c r="CP33" s="123"/>
      <c r="CQ33" s="123"/>
      <c r="CR33" s="124"/>
      <c r="CS33" s="125"/>
      <c r="CT33" s="123"/>
      <c r="CU33" s="123"/>
      <c r="CV33" s="124"/>
      <c r="CW33" s="125"/>
      <c r="CX33" s="123"/>
      <c r="CY33" s="123"/>
      <c r="CZ33" s="124"/>
      <c r="DA33" s="125"/>
      <c r="DB33" s="123"/>
      <c r="DC33" s="123"/>
      <c r="DD33" s="124"/>
      <c r="DE33" s="125"/>
      <c r="DF33" s="123"/>
      <c r="DG33" s="123"/>
      <c r="DH33" s="124"/>
      <c r="DI33" s="125"/>
      <c r="DJ33" s="123"/>
      <c r="DK33" s="123"/>
      <c r="DL33" s="124"/>
      <c r="DM33" s="125"/>
      <c r="DN33" s="123"/>
      <c r="DO33" s="123"/>
      <c r="DP33" s="124"/>
      <c r="DQ33" s="125"/>
      <c r="DR33" s="123"/>
      <c r="DS33" s="123"/>
      <c r="DT33" s="124"/>
      <c r="DU33" s="125"/>
      <c r="DV33" s="123"/>
      <c r="DW33" s="123"/>
      <c r="DX33" s="124"/>
      <c r="DY33" s="125"/>
      <c r="DZ33" s="123"/>
      <c r="EA33" s="123"/>
      <c r="EB33" s="124"/>
      <c r="EC33" s="125"/>
      <c r="ED33" s="123"/>
      <c r="EE33" s="123"/>
      <c r="EF33" s="124"/>
      <c r="EG33" s="125"/>
      <c r="EH33" s="123"/>
      <c r="EI33" s="123"/>
      <c r="EJ33" s="124"/>
      <c r="EK33" s="125"/>
      <c r="EL33" s="123"/>
      <c r="EM33" s="123"/>
      <c r="EN33" s="124"/>
      <c r="EO33" s="125"/>
      <c r="EP33" s="123"/>
      <c r="EQ33" s="123"/>
      <c r="ER33" s="124"/>
      <c r="ES33" s="125"/>
      <c r="ET33" s="123"/>
      <c r="EU33" s="123"/>
      <c r="EV33" s="124"/>
      <c r="EW33" s="125"/>
      <c r="EX33" s="123"/>
      <c r="EY33" s="123"/>
      <c r="EZ33" s="124"/>
      <c r="FA33" s="125"/>
      <c r="FB33" s="123"/>
      <c r="FC33" s="123"/>
      <c r="FD33" s="124"/>
      <c r="FE33" s="123"/>
      <c r="FF33" s="123"/>
      <c r="FG33" s="123"/>
      <c r="FH33" s="124"/>
      <c r="FI33" s="125"/>
      <c r="FJ33" s="123"/>
      <c r="FK33" s="123"/>
      <c r="FL33" s="124"/>
      <c r="FM33" s="125"/>
      <c r="FN33" s="123"/>
      <c r="FO33" s="123"/>
      <c r="FP33" s="124"/>
      <c r="FQ33" s="125"/>
      <c r="FR33" s="123"/>
      <c r="FS33" s="123"/>
      <c r="FT33" s="124"/>
      <c r="FU33" s="125"/>
      <c r="FV33" s="123"/>
      <c r="FW33" s="123"/>
      <c r="FX33" s="124"/>
      <c r="FY33" s="125"/>
      <c r="FZ33" s="123"/>
      <c r="GA33" s="123"/>
      <c r="GB33" s="124"/>
      <c r="GC33" s="125"/>
      <c r="GD33" s="123"/>
      <c r="GE33" s="123"/>
      <c r="GF33" s="124"/>
      <c r="GG33" s="123"/>
    </row>
    <row r="34" spans="1:191" ht="16">
      <c r="A34" s="119" t="s">
        <v>257</v>
      </c>
      <c r="B34" s="170"/>
      <c r="C34" s="172" t="s">
        <v>258</v>
      </c>
      <c r="D34" s="159"/>
      <c r="E34" s="122"/>
      <c r="F34" s="123"/>
      <c r="G34" s="123"/>
      <c r="H34" s="124"/>
      <c r="I34" s="125"/>
      <c r="J34" s="123"/>
      <c r="K34" s="123"/>
      <c r="L34" s="124"/>
      <c r="M34" s="125"/>
      <c r="N34" s="123"/>
      <c r="O34" s="123"/>
      <c r="P34" s="124"/>
      <c r="Q34" s="125"/>
      <c r="R34" s="123"/>
      <c r="S34" s="123"/>
      <c r="T34" s="124"/>
      <c r="U34" s="125"/>
      <c r="V34" s="123"/>
      <c r="W34" s="123"/>
      <c r="X34" s="124"/>
      <c r="Y34" s="125"/>
      <c r="Z34" s="123"/>
      <c r="AA34" s="123"/>
      <c r="AB34" s="124"/>
      <c r="AC34" s="125"/>
      <c r="AD34" s="123"/>
      <c r="AE34" s="123"/>
      <c r="AF34" s="124"/>
      <c r="AG34" s="125"/>
      <c r="AH34" s="123"/>
      <c r="AI34" s="123"/>
      <c r="AJ34" s="124"/>
      <c r="AK34" s="125"/>
      <c r="AL34" s="123"/>
      <c r="AM34" s="123"/>
      <c r="AN34" s="124"/>
      <c r="AO34" s="125"/>
      <c r="AP34" s="123"/>
      <c r="AQ34" s="123"/>
      <c r="AR34" s="124"/>
      <c r="AS34" s="125"/>
      <c r="AT34" s="123"/>
      <c r="AU34" s="123"/>
      <c r="AV34" s="124"/>
      <c r="AW34" s="125"/>
      <c r="AX34" s="123"/>
      <c r="AY34" s="123"/>
      <c r="AZ34" s="124"/>
      <c r="BA34" s="125"/>
      <c r="BB34" s="123"/>
      <c r="BC34" s="123"/>
      <c r="BD34" s="124"/>
      <c r="BE34" s="125"/>
      <c r="BF34" s="123"/>
      <c r="BG34" s="123"/>
      <c r="BH34" s="124"/>
      <c r="BI34" s="125"/>
      <c r="BJ34" s="123"/>
      <c r="BK34" s="123"/>
      <c r="BL34" s="124"/>
      <c r="BM34" s="125"/>
      <c r="BN34" s="123"/>
      <c r="BO34" s="123"/>
      <c r="BP34" s="124"/>
      <c r="BQ34" s="125"/>
      <c r="BR34" s="123"/>
      <c r="BS34" s="123"/>
      <c r="BT34" s="124"/>
      <c r="BU34" s="125"/>
      <c r="BV34" s="123"/>
      <c r="BW34" s="123"/>
      <c r="BX34" s="124"/>
      <c r="BY34" s="125"/>
      <c r="BZ34" s="123"/>
      <c r="CA34" s="123"/>
      <c r="CB34" s="124"/>
      <c r="CC34" s="125"/>
      <c r="CD34" s="123"/>
      <c r="CE34" s="123"/>
      <c r="CF34" s="124"/>
      <c r="CG34" s="125"/>
      <c r="CH34" s="123"/>
      <c r="CI34" s="123"/>
      <c r="CJ34" s="124"/>
      <c r="CK34" s="125"/>
      <c r="CL34" s="123"/>
      <c r="CM34" s="123"/>
      <c r="CN34" s="124"/>
      <c r="CO34" s="125"/>
      <c r="CP34" s="123"/>
      <c r="CQ34" s="123"/>
      <c r="CR34" s="124"/>
      <c r="CS34" s="125"/>
      <c r="CT34" s="123"/>
      <c r="CU34" s="123"/>
      <c r="CV34" s="124"/>
      <c r="CW34" s="125"/>
      <c r="CX34" s="123"/>
      <c r="CY34" s="123"/>
      <c r="CZ34" s="124"/>
      <c r="DA34" s="125"/>
      <c r="DB34" s="123"/>
      <c r="DC34" s="123"/>
      <c r="DD34" s="124"/>
      <c r="DE34" s="125"/>
      <c r="DF34" s="123"/>
      <c r="DG34" s="123"/>
      <c r="DH34" s="124"/>
      <c r="DI34" s="125"/>
      <c r="DJ34" s="123"/>
      <c r="DK34" s="123"/>
      <c r="DL34" s="124"/>
      <c r="DM34" s="125"/>
      <c r="DN34" s="123"/>
      <c r="DO34" s="123"/>
      <c r="DP34" s="124"/>
      <c r="DQ34" s="125"/>
      <c r="DR34" s="123"/>
      <c r="DS34" s="123"/>
      <c r="DT34" s="124"/>
      <c r="DU34" s="125"/>
      <c r="DV34" s="123"/>
      <c r="DW34" s="123"/>
      <c r="DX34" s="124"/>
      <c r="DY34" s="125"/>
      <c r="DZ34" s="123"/>
      <c r="EA34" s="123"/>
      <c r="EB34" s="124"/>
      <c r="EC34" s="125"/>
      <c r="ED34" s="123"/>
      <c r="EE34" s="123"/>
      <c r="EF34" s="124"/>
      <c r="EG34" s="125"/>
      <c r="EH34" s="123"/>
      <c r="EI34" s="123"/>
      <c r="EJ34" s="124"/>
      <c r="EK34" s="125"/>
      <c r="EL34" s="123"/>
      <c r="EM34" s="123"/>
      <c r="EN34" s="124"/>
      <c r="EO34" s="125"/>
      <c r="EP34" s="123"/>
      <c r="EQ34" s="123"/>
      <c r="ER34" s="124"/>
      <c r="ES34" s="125"/>
      <c r="ET34" s="123"/>
      <c r="EU34" s="123"/>
      <c r="EV34" s="124"/>
      <c r="EW34" s="125"/>
      <c r="EX34" s="123"/>
      <c r="EY34" s="123"/>
      <c r="EZ34" s="124"/>
      <c r="FA34" s="125"/>
      <c r="FB34" s="123"/>
      <c r="FC34" s="123"/>
      <c r="FD34" s="124"/>
      <c r="FE34" s="123"/>
      <c r="FF34" s="123"/>
      <c r="FG34" s="123"/>
      <c r="FH34" s="124"/>
      <c r="FI34" s="125"/>
      <c r="FJ34" s="123"/>
      <c r="FK34" s="123"/>
      <c r="FL34" s="124"/>
      <c r="FM34" s="125"/>
      <c r="FN34" s="123"/>
      <c r="FO34" s="123"/>
      <c r="FP34" s="124"/>
      <c r="FQ34" s="125"/>
      <c r="FR34" s="123"/>
      <c r="FS34" s="123"/>
      <c r="FT34" s="124"/>
      <c r="FU34" s="125"/>
      <c r="FV34" s="123"/>
      <c r="FW34" s="123"/>
      <c r="FX34" s="124"/>
      <c r="FY34" s="125"/>
      <c r="FZ34" s="123"/>
      <c r="GA34" s="123"/>
      <c r="GB34" s="124"/>
      <c r="GC34" s="125"/>
      <c r="GD34" s="123"/>
      <c r="GE34" s="123"/>
      <c r="GF34" s="124"/>
      <c r="GG34" s="123"/>
    </row>
    <row r="35" spans="1:191" ht="16">
      <c r="A35" s="119" t="s">
        <v>259</v>
      </c>
      <c r="B35" s="170"/>
      <c r="C35" s="172" t="s">
        <v>260</v>
      </c>
      <c r="D35" s="159"/>
      <c r="E35" s="130"/>
      <c r="F35" s="131"/>
      <c r="G35" s="131"/>
      <c r="H35" s="132"/>
      <c r="I35" s="133"/>
      <c r="J35" s="131"/>
      <c r="K35" s="131"/>
      <c r="L35" s="132"/>
      <c r="M35" s="133"/>
      <c r="N35" s="131"/>
      <c r="O35" s="131"/>
      <c r="P35" s="132"/>
      <c r="Q35" s="133"/>
      <c r="R35" s="131"/>
      <c r="S35" s="131"/>
      <c r="T35" s="132"/>
      <c r="U35" s="133"/>
      <c r="V35" s="131"/>
      <c r="W35" s="131"/>
      <c r="X35" s="132"/>
      <c r="Y35" s="133"/>
      <c r="Z35" s="131"/>
      <c r="AA35" s="131"/>
      <c r="AB35" s="132"/>
      <c r="AC35" s="133"/>
      <c r="AD35" s="131"/>
      <c r="AE35" s="131"/>
      <c r="AF35" s="132"/>
      <c r="AG35" s="133"/>
      <c r="AH35" s="131"/>
      <c r="AI35" s="131"/>
      <c r="AJ35" s="132"/>
      <c r="AK35" s="133"/>
      <c r="AL35" s="131"/>
      <c r="AM35" s="131"/>
      <c r="AN35" s="132"/>
      <c r="AO35" s="133"/>
      <c r="AP35" s="131"/>
      <c r="AQ35" s="131"/>
      <c r="AR35" s="132"/>
      <c r="AS35" s="133"/>
      <c r="AT35" s="131"/>
      <c r="AU35" s="131"/>
      <c r="AV35" s="132"/>
      <c r="AW35" s="133"/>
      <c r="AX35" s="131"/>
      <c r="AY35" s="131"/>
      <c r="AZ35" s="132"/>
      <c r="BA35" s="133"/>
      <c r="BB35" s="131"/>
      <c r="BC35" s="131"/>
      <c r="BD35" s="132"/>
      <c r="BE35" s="133"/>
      <c r="BF35" s="131"/>
      <c r="BG35" s="131"/>
      <c r="BH35" s="132"/>
      <c r="BI35" s="133"/>
      <c r="BJ35" s="131"/>
      <c r="BK35" s="131"/>
      <c r="BL35" s="132"/>
      <c r="BM35" s="133"/>
      <c r="BN35" s="131"/>
      <c r="BO35" s="131"/>
      <c r="BP35" s="132"/>
      <c r="BQ35" s="133"/>
      <c r="BR35" s="131"/>
      <c r="BS35" s="131"/>
      <c r="BT35" s="132"/>
      <c r="BU35" s="133"/>
      <c r="BV35" s="131"/>
      <c r="BW35" s="131"/>
      <c r="BX35" s="132"/>
      <c r="BY35" s="133"/>
      <c r="BZ35" s="131"/>
      <c r="CA35" s="131"/>
      <c r="CB35" s="132"/>
      <c r="CC35" s="133"/>
      <c r="CD35" s="131"/>
      <c r="CE35" s="131"/>
      <c r="CF35" s="132"/>
      <c r="CG35" s="133"/>
      <c r="CH35" s="131"/>
      <c r="CI35" s="131"/>
      <c r="CJ35" s="132"/>
      <c r="CK35" s="133"/>
      <c r="CL35" s="131"/>
      <c r="CM35" s="131"/>
      <c r="CN35" s="132"/>
      <c r="CO35" s="133"/>
      <c r="CP35" s="131"/>
      <c r="CQ35" s="131"/>
      <c r="CR35" s="132"/>
      <c r="CS35" s="133"/>
      <c r="CT35" s="131"/>
      <c r="CU35" s="131"/>
      <c r="CV35" s="132"/>
      <c r="CW35" s="133"/>
      <c r="CX35" s="131"/>
      <c r="CY35" s="131"/>
      <c r="CZ35" s="132"/>
      <c r="DA35" s="133"/>
      <c r="DB35" s="131"/>
      <c r="DC35" s="131"/>
      <c r="DD35" s="132"/>
      <c r="DE35" s="133"/>
      <c r="DF35" s="131"/>
      <c r="DG35" s="131"/>
      <c r="DH35" s="132"/>
      <c r="DI35" s="133"/>
      <c r="DJ35" s="131"/>
      <c r="DK35" s="131"/>
      <c r="DL35" s="132"/>
      <c r="DM35" s="133"/>
      <c r="DN35" s="131"/>
      <c r="DO35" s="131"/>
      <c r="DP35" s="132"/>
      <c r="DQ35" s="133"/>
      <c r="DR35" s="131"/>
      <c r="DS35" s="131"/>
      <c r="DT35" s="132"/>
      <c r="DU35" s="133"/>
      <c r="DV35" s="131"/>
      <c r="DW35" s="131"/>
      <c r="DX35" s="132"/>
      <c r="DY35" s="133"/>
      <c r="DZ35" s="131"/>
      <c r="EA35" s="131"/>
      <c r="EB35" s="132"/>
      <c r="EC35" s="133"/>
      <c r="ED35" s="131"/>
      <c r="EE35" s="131"/>
      <c r="EF35" s="132"/>
      <c r="EG35" s="133"/>
      <c r="EH35" s="131"/>
      <c r="EI35" s="131"/>
      <c r="EJ35" s="132"/>
      <c r="EK35" s="133"/>
      <c r="EL35" s="131"/>
      <c r="EM35" s="131"/>
      <c r="EN35" s="132"/>
      <c r="EO35" s="133"/>
      <c r="EP35" s="131"/>
      <c r="EQ35" s="131"/>
      <c r="ER35" s="132"/>
      <c r="ES35" s="133"/>
      <c r="ET35" s="131"/>
      <c r="EU35" s="131"/>
      <c r="EV35" s="132"/>
      <c r="EW35" s="133"/>
      <c r="EX35" s="131"/>
      <c r="EY35" s="131"/>
      <c r="EZ35" s="132"/>
      <c r="FA35" s="133"/>
      <c r="FB35" s="131"/>
      <c r="FC35" s="131"/>
      <c r="FD35" s="132"/>
      <c r="FE35" s="131"/>
      <c r="FF35" s="131"/>
      <c r="FG35" s="131"/>
      <c r="FH35" s="132"/>
      <c r="FI35" s="133"/>
      <c r="FJ35" s="131"/>
      <c r="FK35" s="131"/>
      <c r="FL35" s="132"/>
      <c r="FM35" s="133"/>
      <c r="FN35" s="131"/>
      <c r="FO35" s="131"/>
      <c r="FP35" s="132"/>
      <c r="FQ35" s="133"/>
      <c r="FR35" s="131"/>
      <c r="FS35" s="131"/>
      <c r="FT35" s="132"/>
      <c r="FU35" s="133"/>
      <c r="FV35" s="131"/>
      <c r="FW35" s="131"/>
      <c r="FX35" s="132"/>
      <c r="FY35" s="133"/>
      <c r="FZ35" s="131"/>
      <c r="GA35" s="131"/>
      <c r="GB35" s="132"/>
      <c r="GC35" s="133"/>
      <c r="GD35" s="131"/>
      <c r="GE35" s="131"/>
      <c r="GF35" s="132"/>
      <c r="GG35" s="131"/>
    </row>
    <row r="36" spans="1:191" ht="16">
      <c r="A36" s="119" t="s">
        <v>261</v>
      </c>
      <c r="B36" s="167" t="s">
        <v>262</v>
      </c>
      <c r="C36" s="168" t="s">
        <v>263</v>
      </c>
      <c r="D36" s="169"/>
      <c r="E36" s="145"/>
      <c r="F36" s="146"/>
      <c r="G36" s="146"/>
      <c r="H36" s="147"/>
      <c r="I36" s="148"/>
      <c r="J36" s="146"/>
      <c r="K36" s="146"/>
      <c r="L36" s="147"/>
      <c r="M36" s="148"/>
      <c r="N36" s="146"/>
      <c r="O36" s="146"/>
      <c r="P36" s="147"/>
      <c r="Q36" s="148"/>
      <c r="R36" s="146"/>
      <c r="S36" s="146"/>
      <c r="T36" s="147"/>
      <c r="U36" s="148"/>
      <c r="V36" s="146"/>
      <c r="W36" s="146"/>
      <c r="X36" s="147"/>
      <c r="Y36" s="148"/>
      <c r="Z36" s="146"/>
      <c r="AA36" s="146"/>
      <c r="AB36" s="147"/>
      <c r="AC36" s="148"/>
      <c r="AD36" s="146"/>
      <c r="AE36" s="146"/>
      <c r="AF36" s="147"/>
      <c r="AG36" s="148"/>
      <c r="AH36" s="146"/>
      <c r="AI36" s="146"/>
      <c r="AJ36" s="147"/>
      <c r="AK36" s="148"/>
      <c r="AL36" s="146"/>
      <c r="AM36" s="146"/>
      <c r="AN36" s="147"/>
      <c r="AO36" s="148"/>
      <c r="AP36" s="146"/>
      <c r="AQ36" s="146"/>
      <c r="AR36" s="147"/>
      <c r="AS36" s="148"/>
      <c r="AT36" s="146"/>
      <c r="AU36" s="146"/>
      <c r="AV36" s="147"/>
      <c r="AW36" s="148"/>
      <c r="AX36" s="146"/>
      <c r="AY36" s="146"/>
      <c r="AZ36" s="147"/>
      <c r="BA36" s="148"/>
      <c r="BB36" s="146"/>
      <c r="BC36" s="146"/>
      <c r="BD36" s="147"/>
      <c r="BE36" s="148"/>
      <c r="BF36" s="146"/>
      <c r="BG36" s="146"/>
      <c r="BH36" s="147"/>
      <c r="BI36" s="148"/>
      <c r="BJ36" s="146"/>
      <c r="BK36" s="146"/>
      <c r="BL36" s="147"/>
      <c r="BM36" s="148"/>
      <c r="BN36" s="146"/>
      <c r="BO36" s="146"/>
      <c r="BP36" s="147"/>
      <c r="BQ36" s="148"/>
      <c r="BR36" s="146"/>
      <c r="BS36" s="146"/>
      <c r="BT36" s="147"/>
      <c r="BU36" s="148"/>
      <c r="BV36" s="146"/>
      <c r="BW36" s="146"/>
      <c r="BX36" s="147"/>
      <c r="BY36" s="148"/>
      <c r="BZ36" s="146"/>
      <c r="CA36" s="146"/>
      <c r="CB36" s="147"/>
      <c r="CC36" s="148"/>
      <c r="CD36" s="146"/>
      <c r="CE36" s="146"/>
      <c r="CF36" s="147"/>
      <c r="CG36" s="148"/>
      <c r="CH36" s="146"/>
      <c r="CI36" s="146"/>
      <c r="CJ36" s="147"/>
      <c r="CK36" s="148"/>
      <c r="CL36" s="146"/>
      <c r="CM36" s="146"/>
      <c r="CN36" s="147"/>
      <c r="CO36" s="148"/>
      <c r="CP36" s="146"/>
      <c r="CQ36" s="146"/>
      <c r="CR36" s="147"/>
      <c r="CS36" s="148"/>
      <c r="CT36" s="146"/>
      <c r="CU36" s="146"/>
      <c r="CV36" s="147"/>
      <c r="CW36" s="148"/>
      <c r="CX36" s="146"/>
      <c r="CY36" s="146"/>
      <c r="CZ36" s="147"/>
      <c r="DA36" s="148"/>
      <c r="DB36" s="146"/>
      <c r="DC36" s="146"/>
      <c r="DD36" s="147"/>
      <c r="DE36" s="148"/>
      <c r="DF36" s="146"/>
      <c r="DG36" s="146"/>
      <c r="DH36" s="147"/>
      <c r="DI36" s="148"/>
      <c r="DJ36" s="146"/>
      <c r="DK36" s="146"/>
      <c r="DL36" s="147"/>
      <c r="DM36" s="148"/>
      <c r="DN36" s="146"/>
      <c r="DO36" s="146"/>
      <c r="DP36" s="147"/>
      <c r="DQ36" s="148"/>
      <c r="DR36" s="146"/>
      <c r="DS36" s="146"/>
      <c r="DT36" s="147"/>
      <c r="DU36" s="148"/>
      <c r="DV36" s="146"/>
      <c r="DW36" s="146"/>
      <c r="DX36" s="147"/>
      <c r="DY36" s="148"/>
      <c r="DZ36" s="146"/>
      <c r="EA36" s="146"/>
      <c r="EB36" s="147"/>
      <c r="EC36" s="148"/>
      <c r="ED36" s="146"/>
      <c r="EE36" s="146"/>
      <c r="EF36" s="147"/>
      <c r="EG36" s="148"/>
      <c r="EH36" s="146"/>
      <c r="EI36" s="146"/>
      <c r="EJ36" s="147"/>
      <c r="EK36" s="148"/>
      <c r="EL36" s="146"/>
      <c r="EM36" s="146"/>
      <c r="EN36" s="147"/>
      <c r="EO36" s="148"/>
      <c r="EP36" s="146"/>
      <c r="EQ36" s="146"/>
      <c r="ER36" s="147"/>
      <c r="ES36" s="148"/>
      <c r="ET36" s="146"/>
      <c r="EU36" s="146"/>
      <c r="EV36" s="147"/>
      <c r="EW36" s="148"/>
      <c r="EX36" s="146"/>
      <c r="EY36" s="146"/>
      <c r="EZ36" s="147"/>
      <c r="FA36" s="148"/>
      <c r="FB36" s="146"/>
      <c r="FC36" s="146"/>
      <c r="FD36" s="147">
        <v>25.71</v>
      </c>
      <c r="FE36" s="173">
        <f t="shared" ref="FE36:FF36" si="47">+FE37</f>
        <v>22.11</v>
      </c>
      <c r="FF36" s="173">
        <f t="shared" si="47"/>
        <v>13.83</v>
      </c>
      <c r="FG36" s="146">
        <f>FG37</f>
        <v>10.18</v>
      </c>
      <c r="FH36" s="146">
        <f t="shared" ref="FH36:FL36" si="48">FH37</f>
        <v>7.6</v>
      </c>
      <c r="FI36" s="146">
        <f t="shared" si="48"/>
        <v>7.6</v>
      </c>
      <c r="FJ36" s="146">
        <f t="shared" si="48"/>
        <v>273.60000000000002</v>
      </c>
      <c r="FK36" s="146">
        <f t="shared" si="48"/>
        <v>273.60000000000002</v>
      </c>
      <c r="FL36" s="146">
        <f t="shared" si="48"/>
        <v>273.60000000000002</v>
      </c>
      <c r="FM36" s="148">
        <v>273.60000000000002</v>
      </c>
      <c r="FN36" s="146">
        <v>374.15937480000002</v>
      </c>
      <c r="FO36" s="146">
        <v>620</v>
      </c>
      <c r="FP36" s="147">
        <v>620.5</v>
      </c>
      <c r="FQ36" s="148">
        <v>725.1</v>
      </c>
      <c r="FR36" s="146">
        <v>859.9</v>
      </c>
      <c r="FS36" s="462">
        <v>859.9</v>
      </c>
      <c r="FT36" s="147">
        <v>859.9</v>
      </c>
      <c r="FU36" s="148">
        <v>992.5</v>
      </c>
      <c r="FV36" s="146">
        <v>1122</v>
      </c>
      <c r="FW36" s="146">
        <v>1077.7</v>
      </c>
      <c r="FX36" s="147">
        <v>1247</v>
      </c>
      <c r="FY36" s="148">
        <v>1224.5</v>
      </c>
      <c r="FZ36" s="146">
        <v>1202.4000000000001</v>
      </c>
      <c r="GA36" s="146"/>
      <c r="GB36" s="147"/>
      <c r="GC36" s="148"/>
      <c r="GD36" s="146"/>
      <c r="GE36" s="146"/>
      <c r="GF36" s="147"/>
      <c r="GG36" s="146"/>
    </row>
    <row r="37" spans="1:191" ht="16">
      <c r="A37" s="119" t="s">
        <v>264</v>
      </c>
      <c r="B37" s="170"/>
      <c r="C37" s="174" t="s">
        <v>265</v>
      </c>
      <c r="D37" s="175"/>
      <c r="E37" s="130"/>
      <c r="F37" s="131"/>
      <c r="G37" s="131"/>
      <c r="H37" s="132"/>
      <c r="I37" s="133"/>
      <c r="J37" s="131"/>
      <c r="K37" s="131"/>
      <c r="L37" s="132"/>
      <c r="M37" s="133"/>
      <c r="N37" s="131"/>
      <c r="O37" s="131"/>
      <c r="P37" s="132"/>
      <c r="Q37" s="133"/>
      <c r="R37" s="131"/>
      <c r="S37" s="131"/>
      <c r="T37" s="132"/>
      <c r="U37" s="133"/>
      <c r="V37" s="131"/>
      <c r="W37" s="131"/>
      <c r="X37" s="132"/>
      <c r="Y37" s="133"/>
      <c r="Z37" s="131"/>
      <c r="AA37" s="131"/>
      <c r="AB37" s="132"/>
      <c r="AC37" s="133"/>
      <c r="AD37" s="131"/>
      <c r="AE37" s="131"/>
      <c r="AF37" s="132"/>
      <c r="AG37" s="133"/>
      <c r="AH37" s="131"/>
      <c r="AI37" s="131"/>
      <c r="AJ37" s="132"/>
      <c r="AK37" s="133"/>
      <c r="AL37" s="131"/>
      <c r="AM37" s="131"/>
      <c r="AN37" s="132"/>
      <c r="AO37" s="133"/>
      <c r="AP37" s="131"/>
      <c r="AQ37" s="131"/>
      <c r="AR37" s="132"/>
      <c r="AS37" s="133"/>
      <c r="AT37" s="131"/>
      <c r="AU37" s="131"/>
      <c r="AV37" s="132"/>
      <c r="AW37" s="133"/>
      <c r="AX37" s="131"/>
      <c r="AY37" s="131"/>
      <c r="AZ37" s="132"/>
      <c r="BA37" s="133"/>
      <c r="BB37" s="131"/>
      <c r="BC37" s="131"/>
      <c r="BD37" s="132"/>
      <c r="BE37" s="133"/>
      <c r="BF37" s="131"/>
      <c r="BG37" s="131"/>
      <c r="BH37" s="132"/>
      <c r="BI37" s="133"/>
      <c r="BJ37" s="131"/>
      <c r="BK37" s="131"/>
      <c r="BL37" s="132"/>
      <c r="BM37" s="133"/>
      <c r="BN37" s="131"/>
      <c r="BO37" s="131"/>
      <c r="BP37" s="132"/>
      <c r="BQ37" s="133"/>
      <c r="BR37" s="131"/>
      <c r="BS37" s="131"/>
      <c r="BT37" s="132"/>
      <c r="BU37" s="133"/>
      <c r="BV37" s="131"/>
      <c r="BW37" s="131"/>
      <c r="BX37" s="132"/>
      <c r="BY37" s="133"/>
      <c r="BZ37" s="131"/>
      <c r="CA37" s="131"/>
      <c r="CB37" s="132"/>
      <c r="CC37" s="133"/>
      <c r="CD37" s="131"/>
      <c r="CE37" s="131"/>
      <c r="CF37" s="132"/>
      <c r="CG37" s="133"/>
      <c r="CH37" s="131"/>
      <c r="CI37" s="131"/>
      <c r="CJ37" s="132"/>
      <c r="CK37" s="133"/>
      <c r="CL37" s="131"/>
      <c r="CM37" s="131"/>
      <c r="CN37" s="132"/>
      <c r="CO37" s="133"/>
      <c r="CP37" s="131"/>
      <c r="CQ37" s="131"/>
      <c r="CR37" s="132"/>
      <c r="CS37" s="133"/>
      <c r="CT37" s="131"/>
      <c r="CU37" s="131"/>
      <c r="CV37" s="132"/>
      <c r="CW37" s="133"/>
      <c r="CX37" s="131"/>
      <c r="CY37" s="131"/>
      <c r="CZ37" s="132"/>
      <c r="DA37" s="133"/>
      <c r="DB37" s="131"/>
      <c r="DC37" s="131"/>
      <c r="DD37" s="132"/>
      <c r="DE37" s="133"/>
      <c r="DF37" s="131"/>
      <c r="DG37" s="131"/>
      <c r="DH37" s="132"/>
      <c r="DI37" s="133"/>
      <c r="DJ37" s="131"/>
      <c r="DK37" s="131"/>
      <c r="DL37" s="132"/>
      <c r="DM37" s="133"/>
      <c r="DN37" s="131"/>
      <c r="DO37" s="131"/>
      <c r="DP37" s="132"/>
      <c r="DQ37" s="133"/>
      <c r="DR37" s="131"/>
      <c r="DS37" s="131"/>
      <c r="DT37" s="132"/>
      <c r="DU37" s="133"/>
      <c r="DV37" s="131"/>
      <c r="DW37" s="131"/>
      <c r="DX37" s="132"/>
      <c r="DY37" s="133"/>
      <c r="DZ37" s="131"/>
      <c r="EA37" s="131"/>
      <c r="EB37" s="132"/>
      <c r="EC37" s="133"/>
      <c r="ED37" s="131"/>
      <c r="EE37" s="131"/>
      <c r="EF37" s="132"/>
      <c r="EG37" s="133"/>
      <c r="EH37" s="131"/>
      <c r="EI37" s="131"/>
      <c r="EJ37" s="132"/>
      <c r="EK37" s="133"/>
      <c r="EL37" s="131"/>
      <c r="EM37" s="131"/>
      <c r="EN37" s="132"/>
      <c r="EO37" s="133"/>
      <c r="EP37" s="131"/>
      <c r="EQ37" s="131"/>
      <c r="ER37" s="132"/>
      <c r="ES37" s="133"/>
      <c r="ET37" s="131"/>
      <c r="EU37" s="131"/>
      <c r="EV37" s="132"/>
      <c r="EW37" s="133"/>
      <c r="EX37" s="131"/>
      <c r="EY37" s="131"/>
      <c r="EZ37" s="132"/>
      <c r="FA37" s="133"/>
      <c r="FB37" s="131"/>
      <c r="FC37" s="131"/>
      <c r="FD37" s="132">
        <v>25.71</v>
      </c>
      <c r="FE37" s="176">
        <v>22.11</v>
      </c>
      <c r="FF37" s="176">
        <v>13.83</v>
      </c>
      <c r="FG37" s="131">
        <v>10.18</v>
      </c>
      <c r="FH37" s="132">
        <v>7.6</v>
      </c>
      <c r="FI37" s="133">
        <v>7.6</v>
      </c>
      <c r="FJ37" s="131">
        <v>273.60000000000002</v>
      </c>
      <c r="FK37" s="131">
        <v>273.60000000000002</v>
      </c>
      <c r="FL37" s="132">
        <v>273.60000000000002</v>
      </c>
      <c r="FM37" s="133">
        <v>273.60000000000002</v>
      </c>
      <c r="FN37" s="131">
        <v>374.15937480000002</v>
      </c>
      <c r="FO37" s="131">
        <v>620.4</v>
      </c>
      <c r="FP37" s="132">
        <v>620.4</v>
      </c>
      <c r="FQ37" s="133">
        <v>725.1</v>
      </c>
      <c r="FR37" s="131">
        <v>859.9</v>
      </c>
      <c r="FS37" s="463">
        <v>859.9</v>
      </c>
      <c r="FT37" s="132">
        <v>859.9</v>
      </c>
      <c r="FU37" s="133">
        <v>992.5</v>
      </c>
      <c r="FV37" s="131">
        <v>1122</v>
      </c>
      <c r="FW37" s="131">
        <v>1077.7</v>
      </c>
      <c r="FX37" s="132">
        <v>1246.7</v>
      </c>
      <c r="FY37" s="133">
        <v>1224.5</v>
      </c>
      <c r="FZ37" s="131">
        <v>1202.4000000000001</v>
      </c>
      <c r="GA37" s="131"/>
      <c r="GB37" s="132"/>
      <c r="GC37" s="133"/>
      <c r="GD37" s="131"/>
      <c r="GE37" s="131"/>
      <c r="GF37" s="132"/>
      <c r="GG37" s="131"/>
    </row>
    <row r="38" spans="1:191" ht="16">
      <c r="A38" s="119" t="s">
        <v>266</v>
      </c>
      <c r="B38" s="167" t="s">
        <v>267</v>
      </c>
      <c r="C38" s="168" t="s">
        <v>268</v>
      </c>
      <c r="D38" s="169"/>
      <c r="E38" s="145"/>
      <c r="F38" s="146"/>
      <c r="G38" s="146"/>
      <c r="H38" s="147"/>
      <c r="I38" s="148"/>
      <c r="J38" s="146"/>
      <c r="K38" s="146"/>
      <c r="L38" s="147"/>
      <c r="M38" s="148"/>
      <c r="N38" s="146"/>
      <c r="O38" s="146"/>
      <c r="P38" s="147"/>
      <c r="Q38" s="148"/>
      <c r="R38" s="146"/>
      <c r="S38" s="146"/>
      <c r="T38" s="147"/>
      <c r="U38" s="148"/>
      <c r="V38" s="146"/>
      <c r="W38" s="146"/>
      <c r="X38" s="147"/>
      <c r="Y38" s="148"/>
      <c r="Z38" s="146"/>
      <c r="AA38" s="146"/>
      <c r="AB38" s="147"/>
      <c r="AC38" s="148"/>
      <c r="AD38" s="146"/>
      <c r="AE38" s="146"/>
      <c r="AF38" s="147"/>
      <c r="AG38" s="148"/>
      <c r="AH38" s="146"/>
      <c r="AI38" s="146"/>
      <c r="AJ38" s="147"/>
      <c r="AK38" s="148"/>
      <c r="AL38" s="146"/>
      <c r="AM38" s="146"/>
      <c r="AN38" s="147"/>
      <c r="AO38" s="148"/>
      <c r="AP38" s="146"/>
      <c r="AQ38" s="146"/>
      <c r="AR38" s="147"/>
      <c r="AS38" s="148"/>
      <c r="AT38" s="146"/>
      <c r="AU38" s="146"/>
      <c r="AV38" s="147"/>
      <c r="AW38" s="148"/>
      <c r="AX38" s="146"/>
      <c r="AY38" s="146"/>
      <c r="AZ38" s="147"/>
      <c r="BA38" s="148"/>
      <c r="BB38" s="146"/>
      <c r="BC38" s="146"/>
      <c r="BD38" s="147"/>
      <c r="BE38" s="148"/>
      <c r="BF38" s="146"/>
      <c r="BG38" s="146"/>
      <c r="BH38" s="147"/>
      <c r="BI38" s="148"/>
      <c r="BJ38" s="146"/>
      <c r="BK38" s="146"/>
      <c r="BL38" s="147"/>
      <c r="BM38" s="148"/>
      <c r="BN38" s="146"/>
      <c r="BO38" s="146"/>
      <c r="BP38" s="147"/>
      <c r="BQ38" s="148"/>
      <c r="BR38" s="146"/>
      <c r="BS38" s="146"/>
      <c r="BT38" s="147"/>
      <c r="BU38" s="148"/>
      <c r="BV38" s="146"/>
      <c r="BW38" s="146"/>
      <c r="BX38" s="147"/>
      <c r="BY38" s="148"/>
      <c r="BZ38" s="146"/>
      <c r="CA38" s="146"/>
      <c r="CB38" s="147"/>
      <c r="CC38" s="148"/>
      <c r="CD38" s="146"/>
      <c r="CE38" s="146"/>
      <c r="CF38" s="147"/>
      <c r="CG38" s="148"/>
      <c r="CH38" s="146"/>
      <c r="CI38" s="146"/>
      <c r="CJ38" s="147"/>
      <c r="CK38" s="148"/>
      <c r="CL38" s="146"/>
      <c r="CM38" s="146"/>
      <c r="CN38" s="147"/>
      <c r="CO38" s="148"/>
      <c r="CP38" s="146"/>
      <c r="CQ38" s="146"/>
      <c r="CR38" s="147"/>
      <c r="CS38" s="148"/>
      <c r="CT38" s="146"/>
      <c r="CU38" s="146"/>
      <c r="CV38" s="147"/>
      <c r="CW38" s="148"/>
      <c r="CX38" s="146"/>
      <c r="CY38" s="146"/>
      <c r="CZ38" s="147"/>
      <c r="DA38" s="148"/>
      <c r="DB38" s="146"/>
      <c r="DC38" s="146"/>
      <c r="DD38" s="147"/>
      <c r="DE38" s="148"/>
      <c r="DF38" s="146"/>
      <c r="DG38" s="146"/>
      <c r="DH38" s="147"/>
      <c r="DI38" s="148"/>
      <c r="DJ38" s="146"/>
      <c r="DK38" s="146"/>
      <c r="DL38" s="147"/>
      <c r="DM38" s="148"/>
      <c r="DN38" s="146"/>
      <c r="DO38" s="146"/>
      <c r="DP38" s="147"/>
      <c r="DQ38" s="148"/>
      <c r="DR38" s="146"/>
      <c r="DS38" s="146"/>
      <c r="DT38" s="147"/>
      <c r="DU38" s="148"/>
      <c r="DV38" s="146"/>
      <c r="DW38" s="146"/>
      <c r="DX38" s="147"/>
      <c r="DY38" s="148"/>
      <c r="DZ38" s="146"/>
      <c r="EA38" s="146"/>
      <c r="EB38" s="147"/>
      <c r="EC38" s="148"/>
      <c r="ED38" s="146"/>
      <c r="EE38" s="146"/>
      <c r="EF38" s="147"/>
      <c r="EG38" s="148"/>
      <c r="EH38" s="146"/>
      <c r="EI38" s="146"/>
      <c r="EJ38" s="147"/>
      <c r="EK38" s="148"/>
      <c r="EL38" s="146"/>
      <c r="EM38" s="146"/>
      <c r="EN38" s="147"/>
      <c r="EO38" s="148"/>
      <c r="EP38" s="146"/>
      <c r="EQ38" s="146"/>
      <c r="ER38" s="147"/>
      <c r="ES38" s="148"/>
      <c r="ET38" s="146"/>
      <c r="EU38" s="146"/>
      <c r="EV38" s="147"/>
      <c r="EW38" s="148"/>
      <c r="EX38" s="146"/>
      <c r="EY38" s="146"/>
      <c r="EZ38" s="147"/>
      <c r="FA38" s="148"/>
      <c r="FB38" s="146"/>
      <c r="FC38" s="146"/>
      <c r="FD38" s="147">
        <v>757.13</v>
      </c>
      <c r="FE38" s="173">
        <f t="shared" ref="FE38:FL38" si="49">+FE39+FE40</f>
        <v>676.3</v>
      </c>
      <c r="FF38" s="173">
        <f t="shared" si="49"/>
        <v>694.4380000000001</v>
      </c>
      <c r="FG38" s="173">
        <f t="shared" si="49"/>
        <v>677.7299999999999</v>
      </c>
      <c r="FH38" s="173">
        <f t="shared" si="49"/>
        <v>854.8</v>
      </c>
      <c r="FI38" s="173">
        <f t="shared" si="49"/>
        <v>934.42399999999998</v>
      </c>
      <c r="FJ38" s="173">
        <f t="shared" si="49"/>
        <v>1086.78</v>
      </c>
      <c r="FK38" s="173">
        <f t="shared" si="49"/>
        <v>1190.5149999999999</v>
      </c>
      <c r="FL38" s="173">
        <f t="shared" si="49"/>
        <v>1206.1699999999998</v>
      </c>
      <c r="FM38" s="148">
        <v>1361.44</v>
      </c>
      <c r="FN38" s="146">
        <v>1170.7380214840919</v>
      </c>
      <c r="FO38" s="146">
        <f>+FO39+FO40</f>
        <v>1204.0423930173354</v>
      </c>
      <c r="FP38" s="146">
        <f>+FP39+FP40</f>
        <v>1315.8650500000001</v>
      </c>
      <c r="FQ38" s="146">
        <v>1601.65</v>
      </c>
      <c r="FR38" s="146">
        <v>1730.604</v>
      </c>
      <c r="FS38" s="462">
        <v>1695</v>
      </c>
      <c r="FT38" s="147">
        <v>1871.9</v>
      </c>
      <c r="FU38" s="148">
        <v>2055.4</v>
      </c>
      <c r="FV38" s="146">
        <v>2047.5800000000002</v>
      </c>
      <c r="FW38" s="146">
        <v>2330.2700000000004</v>
      </c>
      <c r="FX38" s="147">
        <v>2518.5700000000002</v>
      </c>
      <c r="FY38" s="148">
        <v>2756.6190000000006</v>
      </c>
      <c r="FZ38" s="146">
        <v>2700.45</v>
      </c>
      <c r="GA38" s="146"/>
      <c r="GB38" s="147"/>
      <c r="GC38" s="148"/>
      <c r="GD38" s="146"/>
      <c r="GE38" s="146"/>
      <c r="GF38" s="147"/>
      <c r="GG38" s="146"/>
    </row>
    <row r="39" spans="1:191" ht="16">
      <c r="A39" s="119" t="s">
        <v>269</v>
      </c>
      <c r="B39" s="170"/>
      <c r="C39" s="177" t="s">
        <v>229</v>
      </c>
      <c r="D39" s="159"/>
      <c r="E39" s="130"/>
      <c r="F39" s="131"/>
      <c r="G39" s="131"/>
      <c r="H39" s="132"/>
      <c r="I39" s="133"/>
      <c r="J39" s="131"/>
      <c r="K39" s="131"/>
      <c r="L39" s="132"/>
      <c r="M39" s="133"/>
      <c r="N39" s="131"/>
      <c r="O39" s="131"/>
      <c r="P39" s="132"/>
      <c r="Q39" s="133"/>
      <c r="R39" s="131"/>
      <c r="S39" s="131"/>
      <c r="T39" s="132"/>
      <c r="U39" s="133"/>
      <c r="V39" s="131"/>
      <c r="W39" s="131"/>
      <c r="X39" s="132"/>
      <c r="Y39" s="133"/>
      <c r="Z39" s="131"/>
      <c r="AA39" s="131"/>
      <c r="AB39" s="132"/>
      <c r="AC39" s="133"/>
      <c r="AD39" s="131"/>
      <c r="AE39" s="131"/>
      <c r="AF39" s="132"/>
      <c r="AG39" s="133"/>
      <c r="AH39" s="131"/>
      <c r="AI39" s="131"/>
      <c r="AJ39" s="132"/>
      <c r="AK39" s="133"/>
      <c r="AL39" s="131"/>
      <c r="AM39" s="131"/>
      <c r="AN39" s="132"/>
      <c r="AO39" s="133"/>
      <c r="AP39" s="131"/>
      <c r="AQ39" s="131"/>
      <c r="AR39" s="132"/>
      <c r="AS39" s="133"/>
      <c r="AT39" s="131"/>
      <c r="AU39" s="131"/>
      <c r="AV39" s="132"/>
      <c r="AW39" s="133"/>
      <c r="AX39" s="131"/>
      <c r="AY39" s="131"/>
      <c r="AZ39" s="132"/>
      <c r="BA39" s="133"/>
      <c r="BB39" s="131"/>
      <c r="BC39" s="131"/>
      <c r="BD39" s="132"/>
      <c r="BE39" s="133"/>
      <c r="BF39" s="131"/>
      <c r="BG39" s="131"/>
      <c r="BH39" s="132"/>
      <c r="BI39" s="133"/>
      <c r="BJ39" s="131"/>
      <c r="BK39" s="131"/>
      <c r="BL39" s="132"/>
      <c r="BM39" s="133"/>
      <c r="BN39" s="131"/>
      <c r="BO39" s="131"/>
      <c r="BP39" s="132"/>
      <c r="BQ39" s="133"/>
      <c r="BR39" s="131"/>
      <c r="BS39" s="131"/>
      <c r="BT39" s="132"/>
      <c r="BU39" s="133"/>
      <c r="BV39" s="131"/>
      <c r="BW39" s="131"/>
      <c r="BX39" s="132"/>
      <c r="BY39" s="133"/>
      <c r="BZ39" s="131"/>
      <c r="CA39" s="131"/>
      <c r="CB39" s="132"/>
      <c r="CC39" s="133"/>
      <c r="CD39" s="131"/>
      <c r="CE39" s="131"/>
      <c r="CF39" s="132"/>
      <c r="CG39" s="133"/>
      <c r="CH39" s="131"/>
      <c r="CI39" s="131"/>
      <c r="CJ39" s="132"/>
      <c r="CK39" s="133"/>
      <c r="CL39" s="131"/>
      <c r="CM39" s="131"/>
      <c r="CN39" s="132"/>
      <c r="CO39" s="133"/>
      <c r="CP39" s="131"/>
      <c r="CQ39" s="131"/>
      <c r="CR39" s="132"/>
      <c r="CS39" s="133"/>
      <c r="CT39" s="131"/>
      <c r="CU39" s="131"/>
      <c r="CV39" s="132"/>
      <c r="CW39" s="133"/>
      <c r="CX39" s="131"/>
      <c r="CY39" s="131"/>
      <c r="CZ39" s="132"/>
      <c r="DA39" s="133"/>
      <c r="DB39" s="131"/>
      <c r="DC39" s="131"/>
      <c r="DD39" s="132"/>
      <c r="DE39" s="133"/>
      <c r="DF39" s="131"/>
      <c r="DG39" s="131"/>
      <c r="DH39" s="132"/>
      <c r="DI39" s="133"/>
      <c r="DJ39" s="131"/>
      <c r="DK39" s="131"/>
      <c r="DL39" s="132"/>
      <c r="DM39" s="133"/>
      <c r="DN39" s="131"/>
      <c r="DO39" s="131"/>
      <c r="DP39" s="132"/>
      <c r="DQ39" s="133"/>
      <c r="DR39" s="131"/>
      <c r="DS39" s="131"/>
      <c r="DT39" s="132"/>
      <c r="DU39" s="133"/>
      <c r="DV39" s="131"/>
      <c r="DW39" s="131"/>
      <c r="DX39" s="132"/>
      <c r="DY39" s="133"/>
      <c r="DZ39" s="131"/>
      <c r="EA39" s="131"/>
      <c r="EB39" s="132"/>
      <c r="EC39" s="133"/>
      <c r="ED39" s="131"/>
      <c r="EE39" s="131"/>
      <c r="EF39" s="132"/>
      <c r="EG39" s="133"/>
      <c r="EH39" s="131"/>
      <c r="EI39" s="131"/>
      <c r="EJ39" s="132"/>
      <c r="EK39" s="133"/>
      <c r="EL39" s="131"/>
      <c r="EM39" s="131"/>
      <c r="EN39" s="132"/>
      <c r="EO39" s="133"/>
      <c r="EP39" s="131"/>
      <c r="EQ39" s="131"/>
      <c r="ER39" s="132"/>
      <c r="ES39" s="133"/>
      <c r="ET39" s="131"/>
      <c r="EU39" s="131"/>
      <c r="EV39" s="132"/>
      <c r="EW39" s="133"/>
      <c r="EX39" s="131"/>
      <c r="EY39" s="131"/>
      <c r="EZ39" s="132"/>
      <c r="FA39" s="133"/>
      <c r="FB39" s="131"/>
      <c r="FC39" s="131"/>
      <c r="FD39" s="132">
        <v>710.53</v>
      </c>
      <c r="FE39" s="131">
        <f>541.8+121.8</f>
        <v>663.59999999999991</v>
      </c>
      <c r="FF39" s="131">
        <f>557.83+123.96</f>
        <v>681.79000000000008</v>
      </c>
      <c r="FG39" s="131">
        <f>545.42+122.69</f>
        <v>668.1099999999999</v>
      </c>
      <c r="FH39" s="132">
        <v>850</v>
      </c>
      <c r="FI39" s="133">
        <f>707.07+225.694</f>
        <v>932.76400000000001</v>
      </c>
      <c r="FJ39" s="131">
        <f>827.6+244.98</f>
        <v>1072.58</v>
      </c>
      <c r="FK39" s="131">
        <f>850.72+101.06+234.125</f>
        <v>1185.905</v>
      </c>
      <c r="FL39" s="132">
        <f>220.44+18.13+962.74</f>
        <v>1201.31</v>
      </c>
      <c r="FM39" s="133">
        <v>1359.93</v>
      </c>
      <c r="FN39" s="131">
        <v>1156.6937124590918</v>
      </c>
      <c r="FO39" s="131">
        <v>1200.5423930173354</v>
      </c>
      <c r="FP39" s="132">
        <v>1280.3750500000001</v>
      </c>
      <c r="FQ39" s="133">
        <v>1591.45</v>
      </c>
      <c r="FR39" s="131">
        <v>1721.8040000000001</v>
      </c>
      <c r="FS39" s="463">
        <v>1687.52</v>
      </c>
      <c r="FT39" s="132">
        <v>1865.8</v>
      </c>
      <c r="FU39" s="133">
        <v>2050.65</v>
      </c>
      <c r="FV39" s="131">
        <v>2037.45</v>
      </c>
      <c r="FW39" s="131">
        <v>2328.2200000000003</v>
      </c>
      <c r="FX39" s="132">
        <v>2515.42</v>
      </c>
      <c r="FY39" s="133">
        <v>2754.7990000000004</v>
      </c>
      <c r="FZ39" s="131">
        <v>2698.7999999999997</v>
      </c>
      <c r="GA39" s="131"/>
      <c r="GB39" s="132"/>
      <c r="GC39" s="133"/>
      <c r="GD39" s="131"/>
      <c r="GE39" s="131"/>
      <c r="GF39" s="132"/>
      <c r="GG39" s="131"/>
      <c r="GI39" s="500"/>
    </row>
    <row r="40" spans="1:191" ht="16">
      <c r="A40" s="119" t="s">
        <v>270</v>
      </c>
      <c r="B40" s="170"/>
      <c r="C40" s="177" t="s">
        <v>271</v>
      </c>
      <c r="D40" s="159"/>
      <c r="E40" s="130"/>
      <c r="F40" s="131"/>
      <c r="G40" s="131"/>
      <c r="H40" s="132"/>
      <c r="I40" s="133"/>
      <c r="J40" s="131"/>
      <c r="K40" s="131"/>
      <c r="L40" s="132"/>
      <c r="M40" s="133"/>
      <c r="N40" s="131"/>
      <c r="O40" s="131"/>
      <c r="P40" s="132"/>
      <c r="Q40" s="133"/>
      <c r="R40" s="131"/>
      <c r="S40" s="131"/>
      <c r="T40" s="132"/>
      <c r="U40" s="133"/>
      <c r="V40" s="131"/>
      <c r="W40" s="131"/>
      <c r="X40" s="132"/>
      <c r="Y40" s="133"/>
      <c r="Z40" s="131"/>
      <c r="AA40" s="131"/>
      <c r="AB40" s="132"/>
      <c r="AC40" s="133"/>
      <c r="AD40" s="131"/>
      <c r="AE40" s="131"/>
      <c r="AF40" s="132"/>
      <c r="AG40" s="133"/>
      <c r="AH40" s="131"/>
      <c r="AI40" s="131"/>
      <c r="AJ40" s="132"/>
      <c r="AK40" s="133"/>
      <c r="AL40" s="131"/>
      <c r="AM40" s="131"/>
      <c r="AN40" s="132"/>
      <c r="AO40" s="133"/>
      <c r="AP40" s="131"/>
      <c r="AQ40" s="131"/>
      <c r="AR40" s="132"/>
      <c r="AS40" s="133"/>
      <c r="AT40" s="131"/>
      <c r="AU40" s="131"/>
      <c r="AV40" s="132"/>
      <c r="AW40" s="133"/>
      <c r="AX40" s="131"/>
      <c r="AY40" s="131"/>
      <c r="AZ40" s="132"/>
      <c r="BA40" s="133"/>
      <c r="BB40" s="131"/>
      <c r="BC40" s="131"/>
      <c r="BD40" s="132"/>
      <c r="BE40" s="133"/>
      <c r="BF40" s="131"/>
      <c r="BG40" s="131"/>
      <c r="BH40" s="132"/>
      <c r="BI40" s="133"/>
      <c r="BJ40" s="131"/>
      <c r="BK40" s="131"/>
      <c r="BL40" s="132"/>
      <c r="BM40" s="133"/>
      <c r="BN40" s="131"/>
      <c r="BO40" s="131"/>
      <c r="BP40" s="132"/>
      <c r="BQ40" s="133"/>
      <c r="BR40" s="131"/>
      <c r="BS40" s="131"/>
      <c r="BT40" s="132"/>
      <c r="BU40" s="133"/>
      <c r="BV40" s="131"/>
      <c r="BW40" s="131"/>
      <c r="BX40" s="132"/>
      <c r="BY40" s="133"/>
      <c r="BZ40" s="131"/>
      <c r="CA40" s="131"/>
      <c r="CB40" s="132"/>
      <c r="CC40" s="133"/>
      <c r="CD40" s="131"/>
      <c r="CE40" s="131"/>
      <c r="CF40" s="132"/>
      <c r="CG40" s="133"/>
      <c r="CH40" s="131"/>
      <c r="CI40" s="131"/>
      <c r="CJ40" s="132"/>
      <c r="CK40" s="133"/>
      <c r="CL40" s="131"/>
      <c r="CM40" s="131"/>
      <c r="CN40" s="132"/>
      <c r="CO40" s="133"/>
      <c r="CP40" s="131"/>
      <c r="CQ40" s="131"/>
      <c r="CR40" s="132"/>
      <c r="CS40" s="133"/>
      <c r="CT40" s="131"/>
      <c r="CU40" s="131"/>
      <c r="CV40" s="132"/>
      <c r="CW40" s="133"/>
      <c r="CX40" s="131"/>
      <c r="CY40" s="131"/>
      <c r="CZ40" s="132"/>
      <c r="DA40" s="133"/>
      <c r="DB40" s="131"/>
      <c r="DC40" s="131"/>
      <c r="DD40" s="132"/>
      <c r="DE40" s="133"/>
      <c r="DF40" s="131"/>
      <c r="DG40" s="131"/>
      <c r="DH40" s="132"/>
      <c r="DI40" s="133"/>
      <c r="DJ40" s="131"/>
      <c r="DK40" s="131"/>
      <c r="DL40" s="132"/>
      <c r="DM40" s="133"/>
      <c r="DN40" s="131"/>
      <c r="DO40" s="131"/>
      <c r="DP40" s="132"/>
      <c r="DQ40" s="133"/>
      <c r="DR40" s="131"/>
      <c r="DS40" s="131"/>
      <c r="DT40" s="132"/>
      <c r="DU40" s="133"/>
      <c r="DV40" s="131"/>
      <c r="DW40" s="131"/>
      <c r="DX40" s="132"/>
      <c r="DY40" s="133"/>
      <c r="DZ40" s="131"/>
      <c r="EA40" s="131"/>
      <c r="EB40" s="132"/>
      <c r="EC40" s="133"/>
      <c r="ED40" s="131"/>
      <c r="EE40" s="131"/>
      <c r="EF40" s="132"/>
      <c r="EG40" s="133"/>
      <c r="EH40" s="131"/>
      <c r="EI40" s="131"/>
      <c r="EJ40" s="132"/>
      <c r="EK40" s="133"/>
      <c r="EL40" s="131"/>
      <c r="EM40" s="131"/>
      <c r="EN40" s="132"/>
      <c r="EO40" s="133"/>
      <c r="EP40" s="131"/>
      <c r="EQ40" s="131"/>
      <c r="ER40" s="132"/>
      <c r="ES40" s="133"/>
      <c r="ET40" s="131"/>
      <c r="EU40" s="131"/>
      <c r="EV40" s="132"/>
      <c r="EW40" s="133"/>
      <c r="EX40" s="131"/>
      <c r="EY40" s="131"/>
      <c r="EZ40" s="132"/>
      <c r="FA40" s="133"/>
      <c r="FB40" s="131"/>
      <c r="FC40" s="131"/>
      <c r="FD40" s="132">
        <v>46.6</v>
      </c>
      <c r="FE40" s="131">
        <v>12.7</v>
      </c>
      <c r="FF40" s="131">
        <v>12.648</v>
      </c>
      <c r="FG40" s="131">
        <v>9.6199999999999992</v>
      </c>
      <c r="FH40" s="132">
        <v>4.8</v>
      </c>
      <c r="FI40" s="133">
        <v>1.66</v>
      </c>
      <c r="FJ40" s="131">
        <v>14.2</v>
      </c>
      <c r="FK40" s="131">
        <v>4.6100000000000003</v>
      </c>
      <c r="FL40" s="132">
        <v>4.8600000000000003</v>
      </c>
      <c r="FM40" s="133">
        <v>1.51</v>
      </c>
      <c r="FN40" s="131">
        <v>14.044309025</v>
      </c>
      <c r="FO40" s="131">
        <v>3.5</v>
      </c>
      <c r="FP40" s="132">
        <v>35.49</v>
      </c>
      <c r="FQ40" s="133">
        <v>10.199999999999999</v>
      </c>
      <c r="FR40" s="131">
        <v>8.8000000000000007</v>
      </c>
      <c r="FS40" s="463">
        <v>7.48</v>
      </c>
      <c r="FT40" s="132">
        <v>6.1</v>
      </c>
      <c r="FU40" s="133">
        <v>4.75</v>
      </c>
      <c r="FV40" s="131">
        <v>10.130000000000001</v>
      </c>
      <c r="FW40" s="131">
        <v>2.0499999999999998</v>
      </c>
      <c r="FX40" s="132">
        <v>3.15</v>
      </c>
      <c r="FY40" s="133">
        <v>1.82</v>
      </c>
      <c r="FZ40" s="131">
        <v>1.65</v>
      </c>
      <c r="GA40" s="131"/>
      <c r="GB40" s="132"/>
      <c r="GC40" s="133"/>
      <c r="GD40" s="131"/>
      <c r="GE40" s="131"/>
      <c r="GF40" s="132"/>
      <c r="GG40" s="131"/>
      <c r="GI40" s="500"/>
    </row>
    <row r="41" spans="1:191" ht="16">
      <c r="A41" s="119" t="s">
        <v>272</v>
      </c>
      <c r="B41" s="167" t="s">
        <v>273</v>
      </c>
      <c r="C41" s="168" t="s">
        <v>274</v>
      </c>
      <c r="D41" s="169"/>
      <c r="E41" s="149"/>
      <c r="F41" s="150"/>
      <c r="G41" s="150"/>
      <c r="H41" s="151"/>
      <c r="I41" s="152"/>
      <c r="J41" s="150"/>
      <c r="K41" s="150"/>
      <c r="L41" s="151"/>
      <c r="M41" s="152"/>
      <c r="N41" s="150"/>
      <c r="O41" s="150"/>
      <c r="P41" s="151"/>
      <c r="Q41" s="152"/>
      <c r="R41" s="150"/>
      <c r="S41" s="150"/>
      <c r="T41" s="151"/>
      <c r="U41" s="152"/>
      <c r="V41" s="150"/>
      <c r="W41" s="150"/>
      <c r="X41" s="151"/>
      <c r="Y41" s="152"/>
      <c r="Z41" s="150"/>
      <c r="AA41" s="150"/>
      <c r="AB41" s="151"/>
      <c r="AC41" s="152"/>
      <c r="AD41" s="150"/>
      <c r="AE41" s="150"/>
      <c r="AF41" s="151"/>
      <c r="AG41" s="152"/>
      <c r="AH41" s="150"/>
      <c r="AI41" s="150"/>
      <c r="AJ41" s="151"/>
      <c r="AK41" s="152"/>
      <c r="AL41" s="150"/>
      <c r="AM41" s="150"/>
      <c r="AN41" s="151"/>
      <c r="AO41" s="152"/>
      <c r="AP41" s="150"/>
      <c r="AQ41" s="150"/>
      <c r="AR41" s="151"/>
      <c r="AS41" s="152"/>
      <c r="AT41" s="150"/>
      <c r="AU41" s="150"/>
      <c r="AV41" s="151"/>
      <c r="AW41" s="152"/>
      <c r="AX41" s="150"/>
      <c r="AY41" s="150"/>
      <c r="AZ41" s="151"/>
      <c r="BA41" s="152"/>
      <c r="BB41" s="150"/>
      <c r="BC41" s="150"/>
      <c r="BD41" s="151"/>
      <c r="BE41" s="152"/>
      <c r="BF41" s="150"/>
      <c r="BG41" s="150"/>
      <c r="BH41" s="151"/>
      <c r="BI41" s="152"/>
      <c r="BJ41" s="150"/>
      <c r="BK41" s="150"/>
      <c r="BL41" s="151"/>
      <c r="BM41" s="152"/>
      <c r="BN41" s="150"/>
      <c r="BO41" s="150"/>
      <c r="BP41" s="151"/>
      <c r="BQ41" s="152"/>
      <c r="BR41" s="150"/>
      <c r="BS41" s="150"/>
      <c r="BT41" s="151"/>
      <c r="BU41" s="152"/>
      <c r="BV41" s="150"/>
      <c r="BW41" s="150"/>
      <c r="BX41" s="151"/>
      <c r="BY41" s="152"/>
      <c r="BZ41" s="150"/>
      <c r="CA41" s="150"/>
      <c r="CB41" s="151"/>
      <c r="CC41" s="152"/>
      <c r="CD41" s="150"/>
      <c r="CE41" s="150"/>
      <c r="CF41" s="151"/>
      <c r="CG41" s="152"/>
      <c r="CH41" s="150"/>
      <c r="CI41" s="150"/>
      <c r="CJ41" s="151"/>
      <c r="CK41" s="152"/>
      <c r="CL41" s="150"/>
      <c r="CM41" s="150"/>
      <c r="CN41" s="151"/>
      <c r="CO41" s="152"/>
      <c r="CP41" s="150"/>
      <c r="CQ41" s="150"/>
      <c r="CR41" s="151"/>
      <c r="CS41" s="152"/>
      <c r="CT41" s="150"/>
      <c r="CU41" s="150"/>
      <c r="CV41" s="151"/>
      <c r="CW41" s="152"/>
      <c r="CX41" s="150"/>
      <c r="CY41" s="150"/>
      <c r="CZ41" s="151"/>
      <c r="DA41" s="152"/>
      <c r="DB41" s="150"/>
      <c r="DC41" s="150"/>
      <c r="DD41" s="151"/>
      <c r="DE41" s="152"/>
      <c r="DF41" s="150"/>
      <c r="DG41" s="150"/>
      <c r="DH41" s="151"/>
      <c r="DI41" s="152"/>
      <c r="DJ41" s="150"/>
      <c r="DK41" s="150"/>
      <c r="DL41" s="151"/>
      <c r="DM41" s="152"/>
      <c r="DN41" s="150"/>
      <c r="DO41" s="150"/>
      <c r="DP41" s="151"/>
      <c r="DQ41" s="152"/>
      <c r="DR41" s="150"/>
      <c r="DS41" s="150"/>
      <c r="DT41" s="151"/>
      <c r="DU41" s="152"/>
      <c r="DV41" s="150"/>
      <c r="DW41" s="150"/>
      <c r="DX41" s="151"/>
      <c r="DY41" s="152"/>
      <c r="DZ41" s="150"/>
      <c r="EA41" s="150"/>
      <c r="EB41" s="151"/>
      <c r="EC41" s="152"/>
      <c r="ED41" s="150"/>
      <c r="EE41" s="150"/>
      <c r="EF41" s="151"/>
      <c r="EG41" s="152"/>
      <c r="EH41" s="150"/>
      <c r="EI41" s="150"/>
      <c r="EJ41" s="151"/>
      <c r="EK41" s="152"/>
      <c r="EL41" s="150"/>
      <c r="EM41" s="150"/>
      <c r="EN41" s="151"/>
      <c r="EO41" s="152"/>
      <c r="EP41" s="150"/>
      <c r="EQ41" s="150"/>
      <c r="ER41" s="151"/>
      <c r="ES41" s="152"/>
      <c r="ET41" s="150"/>
      <c r="EU41" s="150"/>
      <c r="EV41" s="151"/>
      <c r="EW41" s="152"/>
      <c r="EX41" s="150"/>
      <c r="EY41" s="150"/>
      <c r="EZ41" s="151"/>
      <c r="FA41" s="152"/>
      <c r="FB41" s="150"/>
      <c r="FC41" s="150"/>
      <c r="FD41" s="151"/>
      <c r="FE41" s="150"/>
      <c r="FF41" s="150"/>
      <c r="FG41" s="150"/>
      <c r="FH41" s="151"/>
      <c r="FI41" s="152"/>
      <c r="FJ41" s="150"/>
      <c r="FK41" s="150"/>
      <c r="FL41" s="151"/>
      <c r="FM41" s="152">
        <v>0</v>
      </c>
      <c r="FN41" s="152">
        <v>0</v>
      </c>
      <c r="FO41" s="152">
        <v>0</v>
      </c>
      <c r="FP41" s="152">
        <v>0</v>
      </c>
      <c r="FQ41" s="152">
        <v>0</v>
      </c>
      <c r="FR41" s="152">
        <v>0</v>
      </c>
      <c r="FS41" s="152">
        <v>0</v>
      </c>
      <c r="FT41" s="152">
        <v>0</v>
      </c>
      <c r="FU41" s="152">
        <v>0</v>
      </c>
      <c r="FV41" s="152">
        <v>0</v>
      </c>
      <c r="FW41" s="152">
        <v>0</v>
      </c>
      <c r="FX41" s="152">
        <v>0</v>
      </c>
      <c r="FY41" s="152">
        <v>0</v>
      </c>
      <c r="FZ41" s="152">
        <v>0</v>
      </c>
      <c r="GA41" s="150"/>
      <c r="GB41" s="151"/>
      <c r="GC41" s="152"/>
      <c r="GD41" s="150"/>
      <c r="GE41" s="150"/>
      <c r="GF41" s="151"/>
      <c r="GG41" s="150"/>
      <c r="GI41" s="500"/>
    </row>
    <row r="42" spans="1:191" ht="16">
      <c r="A42" s="137"/>
      <c r="B42" s="170"/>
      <c r="C42" s="160" t="s">
        <v>275</v>
      </c>
      <c r="D42" s="159"/>
      <c r="E42" s="178"/>
      <c r="F42" s="179"/>
      <c r="G42" s="179"/>
      <c r="H42" s="180"/>
      <c r="I42" s="181"/>
      <c r="J42" s="179"/>
      <c r="K42" s="179"/>
      <c r="L42" s="180"/>
      <c r="M42" s="181"/>
      <c r="N42" s="179"/>
      <c r="O42" s="179"/>
      <c r="P42" s="180"/>
      <c r="Q42" s="181"/>
      <c r="R42" s="179"/>
      <c r="S42" s="179"/>
      <c r="T42" s="180"/>
      <c r="U42" s="181"/>
      <c r="V42" s="179"/>
      <c r="W42" s="179"/>
      <c r="X42" s="180"/>
      <c r="Y42" s="181"/>
      <c r="Z42" s="179"/>
      <c r="AA42" s="179"/>
      <c r="AB42" s="180"/>
      <c r="AC42" s="181"/>
      <c r="AD42" s="179"/>
      <c r="AE42" s="179"/>
      <c r="AF42" s="180"/>
      <c r="AG42" s="181"/>
      <c r="AH42" s="179"/>
      <c r="AI42" s="179"/>
      <c r="AJ42" s="180"/>
      <c r="AK42" s="181"/>
      <c r="AL42" s="179"/>
      <c r="AM42" s="179"/>
      <c r="AN42" s="180"/>
      <c r="AO42" s="181"/>
      <c r="AP42" s="179"/>
      <c r="AQ42" s="179"/>
      <c r="AR42" s="180"/>
      <c r="AS42" s="181"/>
      <c r="AT42" s="179"/>
      <c r="AU42" s="179"/>
      <c r="AV42" s="180"/>
      <c r="AW42" s="181"/>
      <c r="AX42" s="179"/>
      <c r="AY42" s="179"/>
      <c r="AZ42" s="180"/>
      <c r="BA42" s="181"/>
      <c r="BB42" s="179"/>
      <c r="BC42" s="179"/>
      <c r="BD42" s="180"/>
      <c r="BE42" s="181"/>
      <c r="BF42" s="179"/>
      <c r="BG42" s="179"/>
      <c r="BH42" s="180"/>
      <c r="BI42" s="181"/>
      <c r="BJ42" s="179"/>
      <c r="BK42" s="179"/>
      <c r="BL42" s="180"/>
      <c r="BM42" s="181"/>
      <c r="BN42" s="179"/>
      <c r="BO42" s="179"/>
      <c r="BP42" s="180"/>
      <c r="BQ42" s="181"/>
      <c r="BR42" s="179"/>
      <c r="BS42" s="179"/>
      <c r="BT42" s="180"/>
      <c r="BU42" s="181"/>
      <c r="BV42" s="179"/>
      <c r="BW42" s="179"/>
      <c r="BX42" s="180"/>
      <c r="BY42" s="181"/>
      <c r="BZ42" s="179"/>
      <c r="CA42" s="179"/>
      <c r="CB42" s="180"/>
      <c r="CC42" s="181"/>
      <c r="CD42" s="179"/>
      <c r="CE42" s="179"/>
      <c r="CF42" s="180"/>
      <c r="CG42" s="181"/>
      <c r="CH42" s="179"/>
      <c r="CI42" s="179"/>
      <c r="CJ42" s="180"/>
      <c r="CK42" s="181"/>
      <c r="CL42" s="179"/>
      <c r="CM42" s="179"/>
      <c r="CN42" s="180"/>
      <c r="CO42" s="181"/>
      <c r="CP42" s="179"/>
      <c r="CQ42" s="179"/>
      <c r="CR42" s="180"/>
      <c r="CS42" s="181"/>
      <c r="CT42" s="179"/>
      <c r="CU42" s="179"/>
      <c r="CV42" s="180"/>
      <c r="CW42" s="181"/>
      <c r="CX42" s="179"/>
      <c r="CY42" s="179"/>
      <c r="CZ42" s="180"/>
      <c r="DA42" s="181"/>
      <c r="DB42" s="179"/>
      <c r="DC42" s="179"/>
      <c r="DD42" s="180"/>
      <c r="DE42" s="181"/>
      <c r="DF42" s="179"/>
      <c r="DG42" s="179"/>
      <c r="DH42" s="180"/>
      <c r="DI42" s="181"/>
      <c r="DJ42" s="179"/>
      <c r="DK42" s="179"/>
      <c r="DL42" s="180"/>
      <c r="DM42" s="181"/>
      <c r="DN42" s="179"/>
      <c r="DO42" s="179"/>
      <c r="DP42" s="180"/>
      <c r="DQ42" s="181"/>
      <c r="DR42" s="179"/>
      <c r="DS42" s="179"/>
      <c r="DT42" s="180"/>
      <c r="DU42" s="181"/>
      <c r="DV42" s="179"/>
      <c r="DW42" s="179"/>
      <c r="DX42" s="180"/>
      <c r="DY42" s="181"/>
      <c r="DZ42" s="179"/>
      <c r="EA42" s="179"/>
      <c r="EB42" s="180"/>
      <c r="EC42" s="181"/>
      <c r="ED42" s="179"/>
      <c r="EE42" s="179"/>
      <c r="EF42" s="180"/>
      <c r="EG42" s="181"/>
      <c r="EH42" s="179"/>
      <c r="EI42" s="179"/>
      <c r="EJ42" s="180"/>
      <c r="EK42" s="181"/>
      <c r="EL42" s="179"/>
      <c r="EM42" s="179"/>
      <c r="EN42" s="180"/>
      <c r="EO42" s="181"/>
      <c r="EP42" s="179"/>
      <c r="EQ42" s="179"/>
      <c r="ER42" s="180"/>
      <c r="ES42" s="181"/>
      <c r="ET42" s="179"/>
      <c r="EU42" s="179"/>
      <c r="EV42" s="180"/>
      <c r="EW42" s="181"/>
      <c r="EX42" s="179"/>
      <c r="EY42" s="179"/>
      <c r="EZ42" s="180"/>
      <c r="FA42" s="181"/>
      <c r="FB42" s="179"/>
      <c r="FC42" s="179"/>
      <c r="FD42" s="180"/>
      <c r="FE42" s="179"/>
      <c r="FF42" s="179"/>
      <c r="FG42" s="179"/>
      <c r="FH42" s="136"/>
      <c r="FI42" s="181"/>
      <c r="FJ42" s="179"/>
      <c r="FK42" s="179"/>
      <c r="FL42" s="180"/>
      <c r="FM42" s="181"/>
      <c r="FN42" s="179"/>
      <c r="FO42" s="179"/>
      <c r="FP42" s="180"/>
      <c r="FQ42" s="181"/>
      <c r="FR42" s="179"/>
      <c r="FS42" s="179"/>
      <c r="FT42" s="180"/>
      <c r="FU42" s="181"/>
      <c r="FV42" s="179"/>
      <c r="FW42" s="179"/>
      <c r="FX42" s="180"/>
      <c r="FY42" s="181"/>
      <c r="FZ42" s="179"/>
      <c r="GA42" s="179"/>
      <c r="GB42" s="180"/>
      <c r="GC42" s="181"/>
      <c r="GD42" s="179"/>
      <c r="GE42" s="179"/>
      <c r="GF42" s="180"/>
      <c r="GG42" s="179"/>
    </row>
    <row r="43" spans="1:191" ht="16">
      <c r="A43" s="119" t="s">
        <v>276</v>
      </c>
      <c r="B43" s="167" t="s">
        <v>277</v>
      </c>
      <c r="C43" s="168" t="s">
        <v>278</v>
      </c>
      <c r="D43" s="169"/>
      <c r="E43" s="145"/>
      <c r="F43" s="146"/>
      <c r="G43" s="146"/>
      <c r="H43" s="147"/>
      <c r="I43" s="148"/>
      <c r="J43" s="146"/>
      <c r="K43" s="146"/>
      <c r="L43" s="147"/>
      <c r="M43" s="148"/>
      <c r="N43" s="146"/>
      <c r="O43" s="146"/>
      <c r="P43" s="147"/>
      <c r="Q43" s="148"/>
      <c r="R43" s="146"/>
      <c r="S43" s="146"/>
      <c r="T43" s="147"/>
      <c r="U43" s="148"/>
      <c r="V43" s="146"/>
      <c r="W43" s="146"/>
      <c r="X43" s="147"/>
      <c r="Y43" s="148"/>
      <c r="Z43" s="146"/>
      <c r="AA43" s="146"/>
      <c r="AB43" s="147"/>
      <c r="AC43" s="148"/>
      <c r="AD43" s="146"/>
      <c r="AE43" s="146"/>
      <c r="AF43" s="147"/>
      <c r="AG43" s="148"/>
      <c r="AH43" s="146"/>
      <c r="AI43" s="146"/>
      <c r="AJ43" s="147"/>
      <c r="AK43" s="148"/>
      <c r="AL43" s="146"/>
      <c r="AM43" s="146"/>
      <c r="AN43" s="147"/>
      <c r="AO43" s="148"/>
      <c r="AP43" s="146"/>
      <c r="AQ43" s="146"/>
      <c r="AR43" s="147"/>
      <c r="AS43" s="148"/>
      <c r="AT43" s="146"/>
      <c r="AU43" s="146"/>
      <c r="AV43" s="147"/>
      <c r="AW43" s="148"/>
      <c r="AX43" s="146"/>
      <c r="AY43" s="146"/>
      <c r="AZ43" s="147"/>
      <c r="BA43" s="148"/>
      <c r="BB43" s="146"/>
      <c r="BC43" s="146"/>
      <c r="BD43" s="147"/>
      <c r="BE43" s="148"/>
      <c r="BF43" s="146"/>
      <c r="BG43" s="146"/>
      <c r="BH43" s="147"/>
      <c r="BI43" s="148"/>
      <c r="BJ43" s="146"/>
      <c r="BK43" s="146"/>
      <c r="BL43" s="147"/>
      <c r="BM43" s="148"/>
      <c r="BN43" s="146"/>
      <c r="BO43" s="146"/>
      <c r="BP43" s="147"/>
      <c r="BQ43" s="148"/>
      <c r="BR43" s="146"/>
      <c r="BS43" s="146"/>
      <c r="BT43" s="147"/>
      <c r="BU43" s="148"/>
      <c r="BV43" s="146"/>
      <c r="BW43" s="146"/>
      <c r="BX43" s="147"/>
      <c r="BY43" s="148"/>
      <c r="BZ43" s="146"/>
      <c r="CA43" s="146"/>
      <c r="CB43" s="147"/>
      <c r="CC43" s="148"/>
      <c r="CD43" s="146"/>
      <c r="CE43" s="146"/>
      <c r="CF43" s="147"/>
      <c r="CG43" s="148"/>
      <c r="CH43" s="146"/>
      <c r="CI43" s="146"/>
      <c r="CJ43" s="147"/>
      <c r="CK43" s="148"/>
      <c r="CL43" s="146"/>
      <c r="CM43" s="146"/>
      <c r="CN43" s="147"/>
      <c r="CO43" s="148"/>
      <c r="CP43" s="146"/>
      <c r="CQ43" s="146"/>
      <c r="CR43" s="147"/>
      <c r="CS43" s="148"/>
      <c r="CT43" s="146"/>
      <c r="CU43" s="146"/>
      <c r="CV43" s="147"/>
      <c r="CW43" s="148"/>
      <c r="CX43" s="146"/>
      <c r="CY43" s="146"/>
      <c r="CZ43" s="147"/>
      <c r="DA43" s="148"/>
      <c r="DB43" s="146"/>
      <c r="DC43" s="146"/>
      <c r="DD43" s="147"/>
      <c r="DE43" s="148"/>
      <c r="DF43" s="146"/>
      <c r="DG43" s="146"/>
      <c r="DH43" s="147"/>
      <c r="DI43" s="148"/>
      <c r="DJ43" s="146"/>
      <c r="DK43" s="146"/>
      <c r="DL43" s="147"/>
      <c r="DM43" s="148"/>
      <c r="DN43" s="146"/>
      <c r="DO43" s="146"/>
      <c r="DP43" s="147"/>
      <c r="DQ43" s="148"/>
      <c r="DR43" s="146"/>
      <c r="DS43" s="146"/>
      <c r="DT43" s="147"/>
      <c r="DU43" s="148"/>
      <c r="DV43" s="146"/>
      <c r="DW43" s="146"/>
      <c r="DX43" s="147"/>
      <c r="DY43" s="148"/>
      <c r="DZ43" s="146"/>
      <c r="EA43" s="146"/>
      <c r="EB43" s="147"/>
      <c r="EC43" s="148"/>
      <c r="ED43" s="146"/>
      <c r="EE43" s="146"/>
      <c r="EF43" s="147"/>
      <c r="EG43" s="148"/>
      <c r="EH43" s="146"/>
      <c r="EI43" s="146"/>
      <c r="EJ43" s="147"/>
      <c r="EK43" s="148"/>
      <c r="EL43" s="146"/>
      <c r="EM43" s="146"/>
      <c r="EN43" s="147"/>
      <c r="EO43" s="148"/>
      <c r="EP43" s="146"/>
      <c r="EQ43" s="146"/>
      <c r="ER43" s="147"/>
      <c r="ES43" s="148"/>
      <c r="ET43" s="146"/>
      <c r="EU43" s="146"/>
      <c r="EV43" s="147"/>
      <c r="EW43" s="148"/>
      <c r="EX43" s="146"/>
      <c r="EY43" s="146"/>
      <c r="EZ43" s="147"/>
      <c r="FA43" s="148"/>
      <c r="FB43" s="146"/>
      <c r="FC43" s="146"/>
      <c r="FD43" s="147"/>
      <c r="FE43" s="146"/>
      <c r="FF43" s="146"/>
      <c r="FG43" s="146"/>
      <c r="FH43" s="147"/>
      <c r="FI43" s="148"/>
      <c r="FJ43" s="146"/>
      <c r="FK43" s="146"/>
      <c r="FL43" s="147"/>
      <c r="FM43" s="148">
        <v>0</v>
      </c>
      <c r="FN43" s="148">
        <v>0</v>
      </c>
      <c r="FO43" s="148">
        <v>0</v>
      </c>
      <c r="FP43" s="148">
        <v>0</v>
      </c>
      <c r="FQ43" s="148">
        <v>0</v>
      </c>
      <c r="FR43" s="148">
        <v>0</v>
      </c>
      <c r="FS43" s="148">
        <v>0</v>
      </c>
      <c r="FT43" s="148">
        <v>0</v>
      </c>
      <c r="FU43" s="148">
        <v>0</v>
      </c>
      <c r="FV43" s="148">
        <v>0</v>
      </c>
      <c r="FW43" s="148">
        <v>0</v>
      </c>
      <c r="FX43" s="148">
        <v>0</v>
      </c>
      <c r="FY43" s="148">
        <v>0</v>
      </c>
      <c r="FZ43" s="148">
        <v>0</v>
      </c>
      <c r="GA43" s="148">
        <v>0</v>
      </c>
      <c r="GB43" s="148">
        <v>0</v>
      </c>
      <c r="GC43" s="148">
        <v>0</v>
      </c>
      <c r="GD43" s="148">
        <v>0</v>
      </c>
      <c r="GE43" s="148">
        <v>0</v>
      </c>
      <c r="GF43" s="148">
        <v>0</v>
      </c>
      <c r="GG43" s="148">
        <v>0</v>
      </c>
    </row>
    <row r="44" spans="1:191" ht="16">
      <c r="A44" s="119" t="s">
        <v>279</v>
      </c>
      <c r="B44" s="167" t="s">
        <v>280</v>
      </c>
      <c r="C44" s="168" t="s">
        <v>281</v>
      </c>
      <c r="D44" s="169"/>
      <c r="E44" s="145"/>
      <c r="F44" s="146"/>
      <c r="G44" s="146"/>
      <c r="H44" s="147"/>
      <c r="I44" s="148"/>
      <c r="J44" s="146"/>
      <c r="K44" s="146"/>
      <c r="L44" s="147"/>
      <c r="M44" s="148"/>
      <c r="N44" s="146"/>
      <c r="O44" s="146"/>
      <c r="P44" s="147"/>
      <c r="Q44" s="148"/>
      <c r="R44" s="146"/>
      <c r="S44" s="146"/>
      <c r="T44" s="147"/>
      <c r="U44" s="148"/>
      <c r="V44" s="146"/>
      <c r="W44" s="146"/>
      <c r="X44" s="147"/>
      <c r="Y44" s="148"/>
      <c r="Z44" s="146"/>
      <c r="AA44" s="146"/>
      <c r="AB44" s="147"/>
      <c r="AC44" s="148"/>
      <c r="AD44" s="146"/>
      <c r="AE44" s="146"/>
      <c r="AF44" s="147"/>
      <c r="AG44" s="148"/>
      <c r="AH44" s="146"/>
      <c r="AI44" s="146"/>
      <c r="AJ44" s="147"/>
      <c r="AK44" s="148"/>
      <c r="AL44" s="146"/>
      <c r="AM44" s="146"/>
      <c r="AN44" s="147"/>
      <c r="AO44" s="148"/>
      <c r="AP44" s="146"/>
      <c r="AQ44" s="146"/>
      <c r="AR44" s="147"/>
      <c r="AS44" s="148"/>
      <c r="AT44" s="146"/>
      <c r="AU44" s="146"/>
      <c r="AV44" s="147"/>
      <c r="AW44" s="148"/>
      <c r="AX44" s="146"/>
      <c r="AY44" s="146"/>
      <c r="AZ44" s="147"/>
      <c r="BA44" s="148"/>
      <c r="BB44" s="146"/>
      <c r="BC44" s="146"/>
      <c r="BD44" s="147"/>
      <c r="BE44" s="148"/>
      <c r="BF44" s="146"/>
      <c r="BG44" s="146"/>
      <c r="BH44" s="147"/>
      <c r="BI44" s="148"/>
      <c r="BJ44" s="146"/>
      <c r="BK44" s="146"/>
      <c r="BL44" s="147"/>
      <c r="BM44" s="148"/>
      <c r="BN44" s="146"/>
      <c r="BO44" s="146"/>
      <c r="BP44" s="147"/>
      <c r="BQ44" s="148"/>
      <c r="BR44" s="146"/>
      <c r="BS44" s="146"/>
      <c r="BT44" s="147"/>
      <c r="BU44" s="148"/>
      <c r="BV44" s="146"/>
      <c r="BW44" s="146"/>
      <c r="BX44" s="147"/>
      <c r="BY44" s="148"/>
      <c r="BZ44" s="146"/>
      <c r="CA44" s="146"/>
      <c r="CB44" s="147"/>
      <c r="CC44" s="148"/>
      <c r="CD44" s="146"/>
      <c r="CE44" s="146"/>
      <c r="CF44" s="147"/>
      <c r="CG44" s="148"/>
      <c r="CH44" s="146"/>
      <c r="CI44" s="146"/>
      <c r="CJ44" s="147"/>
      <c r="CK44" s="148"/>
      <c r="CL44" s="146"/>
      <c r="CM44" s="146"/>
      <c r="CN44" s="147"/>
      <c r="CO44" s="148"/>
      <c r="CP44" s="146"/>
      <c r="CQ44" s="146"/>
      <c r="CR44" s="147"/>
      <c r="CS44" s="148"/>
      <c r="CT44" s="146"/>
      <c r="CU44" s="146"/>
      <c r="CV44" s="147"/>
      <c r="CW44" s="148"/>
      <c r="CX44" s="146"/>
      <c r="CY44" s="146"/>
      <c r="CZ44" s="147"/>
      <c r="DA44" s="148"/>
      <c r="DB44" s="146"/>
      <c r="DC44" s="146"/>
      <c r="DD44" s="147"/>
      <c r="DE44" s="148"/>
      <c r="DF44" s="146"/>
      <c r="DG44" s="146"/>
      <c r="DH44" s="147"/>
      <c r="DI44" s="148"/>
      <c r="DJ44" s="146"/>
      <c r="DK44" s="146"/>
      <c r="DL44" s="147"/>
      <c r="DM44" s="148"/>
      <c r="DN44" s="146"/>
      <c r="DO44" s="146"/>
      <c r="DP44" s="147"/>
      <c r="DQ44" s="148"/>
      <c r="DR44" s="146"/>
      <c r="DS44" s="146"/>
      <c r="DT44" s="147"/>
      <c r="DU44" s="148"/>
      <c r="DV44" s="146"/>
      <c r="DW44" s="146"/>
      <c r="DX44" s="147"/>
      <c r="DY44" s="148"/>
      <c r="DZ44" s="146"/>
      <c r="EA44" s="146"/>
      <c r="EB44" s="147"/>
      <c r="EC44" s="148"/>
      <c r="ED44" s="146"/>
      <c r="EE44" s="146"/>
      <c r="EF44" s="147"/>
      <c r="EG44" s="148"/>
      <c r="EH44" s="146"/>
      <c r="EI44" s="146"/>
      <c r="EJ44" s="147"/>
      <c r="EK44" s="148"/>
      <c r="EL44" s="146"/>
      <c r="EM44" s="146"/>
      <c r="EN44" s="147"/>
      <c r="EO44" s="148"/>
      <c r="EP44" s="146"/>
      <c r="EQ44" s="146"/>
      <c r="ER44" s="147"/>
      <c r="ES44" s="148"/>
      <c r="ET44" s="146"/>
      <c r="EU44" s="146"/>
      <c r="EV44" s="147"/>
      <c r="EW44" s="148"/>
      <c r="EX44" s="146"/>
      <c r="EY44" s="146"/>
      <c r="EZ44" s="147"/>
      <c r="FA44" s="148"/>
      <c r="FB44" s="146"/>
      <c r="FC44" s="146"/>
      <c r="FD44" s="147"/>
      <c r="FE44" s="146"/>
      <c r="FF44" s="146"/>
      <c r="FG44" s="146"/>
      <c r="FH44" s="147"/>
      <c r="FI44" s="148"/>
      <c r="FJ44" s="146"/>
      <c r="FK44" s="146"/>
      <c r="FL44" s="147"/>
      <c r="FM44" s="148">
        <v>0</v>
      </c>
      <c r="FN44" s="148">
        <v>0</v>
      </c>
      <c r="FO44" s="148">
        <v>0</v>
      </c>
      <c r="FP44" s="148">
        <v>0</v>
      </c>
      <c r="FQ44" s="148">
        <v>0</v>
      </c>
      <c r="FR44" s="148">
        <v>0</v>
      </c>
      <c r="FS44" s="148">
        <v>0</v>
      </c>
      <c r="FT44" s="148">
        <v>0</v>
      </c>
      <c r="FU44" s="148">
        <v>0</v>
      </c>
      <c r="FV44" s="148">
        <v>0</v>
      </c>
      <c r="FW44" s="148">
        <v>0</v>
      </c>
      <c r="FX44" s="148">
        <v>0</v>
      </c>
      <c r="FY44" s="148">
        <v>0</v>
      </c>
      <c r="FZ44" s="148">
        <v>0</v>
      </c>
      <c r="GA44" s="148">
        <v>0</v>
      </c>
      <c r="GB44" s="148">
        <v>0</v>
      </c>
      <c r="GC44" s="148">
        <v>0</v>
      </c>
      <c r="GD44" s="148">
        <v>0</v>
      </c>
      <c r="GE44" s="148">
        <v>0</v>
      </c>
      <c r="GF44" s="148">
        <v>0</v>
      </c>
      <c r="GG44" s="148">
        <v>0</v>
      </c>
    </row>
    <row r="45" spans="1:191" ht="16">
      <c r="A45" s="119" t="s">
        <v>282</v>
      </c>
      <c r="B45" s="170"/>
      <c r="C45" s="174" t="s">
        <v>283</v>
      </c>
      <c r="D45" s="175"/>
      <c r="E45" s="178"/>
      <c r="F45" s="179"/>
      <c r="G45" s="179"/>
      <c r="H45" s="180"/>
      <c r="I45" s="181"/>
      <c r="J45" s="179"/>
      <c r="K45" s="179"/>
      <c r="L45" s="180"/>
      <c r="M45" s="181"/>
      <c r="N45" s="179"/>
      <c r="O45" s="179"/>
      <c r="P45" s="180"/>
      <c r="Q45" s="181"/>
      <c r="R45" s="179"/>
      <c r="S45" s="179"/>
      <c r="T45" s="180"/>
      <c r="U45" s="181"/>
      <c r="V45" s="179"/>
      <c r="W45" s="179"/>
      <c r="X45" s="180"/>
      <c r="Y45" s="181"/>
      <c r="Z45" s="179"/>
      <c r="AA45" s="179"/>
      <c r="AB45" s="180"/>
      <c r="AC45" s="181"/>
      <c r="AD45" s="179"/>
      <c r="AE45" s="179"/>
      <c r="AF45" s="180"/>
      <c r="AG45" s="181"/>
      <c r="AH45" s="179"/>
      <c r="AI45" s="179"/>
      <c r="AJ45" s="180"/>
      <c r="AK45" s="181"/>
      <c r="AL45" s="179"/>
      <c r="AM45" s="179"/>
      <c r="AN45" s="180"/>
      <c r="AO45" s="181"/>
      <c r="AP45" s="179"/>
      <c r="AQ45" s="179"/>
      <c r="AR45" s="180"/>
      <c r="AS45" s="181"/>
      <c r="AT45" s="179"/>
      <c r="AU45" s="179"/>
      <c r="AV45" s="180"/>
      <c r="AW45" s="181"/>
      <c r="AX45" s="179"/>
      <c r="AY45" s="179"/>
      <c r="AZ45" s="180"/>
      <c r="BA45" s="181"/>
      <c r="BB45" s="179"/>
      <c r="BC45" s="179"/>
      <c r="BD45" s="180"/>
      <c r="BE45" s="181"/>
      <c r="BF45" s="179"/>
      <c r="BG45" s="179"/>
      <c r="BH45" s="180"/>
      <c r="BI45" s="181"/>
      <c r="BJ45" s="179"/>
      <c r="BK45" s="179"/>
      <c r="BL45" s="180"/>
      <c r="BM45" s="181"/>
      <c r="BN45" s="179"/>
      <c r="BO45" s="179"/>
      <c r="BP45" s="180"/>
      <c r="BQ45" s="181"/>
      <c r="BR45" s="179"/>
      <c r="BS45" s="179"/>
      <c r="BT45" s="180"/>
      <c r="BU45" s="181"/>
      <c r="BV45" s="179"/>
      <c r="BW45" s="179"/>
      <c r="BX45" s="180"/>
      <c r="BY45" s="181"/>
      <c r="BZ45" s="179"/>
      <c r="CA45" s="179"/>
      <c r="CB45" s="180"/>
      <c r="CC45" s="181"/>
      <c r="CD45" s="179"/>
      <c r="CE45" s="179"/>
      <c r="CF45" s="180"/>
      <c r="CG45" s="181"/>
      <c r="CH45" s="179"/>
      <c r="CI45" s="179"/>
      <c r="CJ45" s="180"/>
      <c r="CK45" s="181"/>
      <c r="CL45" s="179"/>
      <c r="CM45" s="179"/>
      <c r="CN45" s="180"/>
      <c r="CO45" s="181"/>
      <c r="CP45" s="179"/>
      <c r="CQ45" s="179"/>
      <c r="CR45" s="180"/>
      <c r="CS45" s="181"/>
      <c r="CT45" s="179"/>
      <c r="CU45" s="179"/>
      <c r="CV45" s="180"/>
      <c r="CW45" s="181"/>
      <c r="CX45" s="179"/>
      <c r="CY45" s="179"/>
      <c r="CZ45" s="180"/>
      <c r="DA45" s="181"/>
      <c r="DB45" s="179"/>
      <c r="DC45" s="179"/>
      <c r="DD45" s="180"/>
      <c r="DE45" s="181"/>
      <c r="DF45" s="179"/>
      <c r="DG45" s="179"/>
      <c r="DH45" s="180"/>
      <c r="DI45" s="181"/>
      <c r="DJ45" s="179"/>
      <c r="DK45" s="179"/>
      <c r="DL45" s="180"/>
      <c r="DM45" s="181"/>
      <c r="DN45" s="179"/>
      <c r="DO45" s="179"/>
      <c r="DP45" s="180"/>
      <c r="DQ45" s="181"/>
      <c r="DR45" s="179"/>
      <c r="DS45" s="179"/>
      <c r="DT45" s="180"/>
      <c r="DU45" s="181"/>
      <c r="DV45" s="179"/>
      <c r="DW45" s="179"/>
      <c r="DX45" s="180"/>
      <c r="DY45" s="181"/>
      <c r="DZ45" s="179"/>
      <c r="EA45" s="179"/>
      <c r="EB45" s="180"/>
      <c r="EC45" s="181"/>
      <c r="ED45" s="179"/>
      <c r="EE45" s="179"/>
      <c r="EF45" s="180"/>
      <c r="EG45" s="181"/>
      <c r="EH45" s="179"/>
      <c r="EI45" s="179"/>
      <c r="EJ45" s="180"/>
      <c r="EK45" s="181"/>
      <c r="EL45" s="179"/>
      <c r="EM45" s="179"/>
      <c r="EN45" s="180"/>
      <c r="EO45" s="181"/>
      <c r="EP45" s="179"/>
      <c r="EQ45" s="179"/>
      <c r="ER45" s="180"/>
      <c r="ES45" s="181"/>
      <c r="ET45" s="179"/>
      <c r="EU45" s="179"/>
      <c r="EV45" s="180"/>
      <c r="EW45" s="181"/>
      <c r="EX45" s="179"/>
      <c r="EY45" s="179"/>
      <c r="EZ45" s="180"/>
      <c r="FA45" s="181"/>
      <c r="FB45" s="179"/>
      <c r="FC45" s="179"/>
      <c r="FD45" s="180"/>
      <c r="FE45" s="179"/>
      <c r="FF45" s="179"/>
      <c r="FG45" s="179"/>
      <c r="FH45" s="180"/>
      <c r="FI45" s="181"/>
      <c r="FJ45" s="179"/>
      <c r="FK45" s="179"/>
      <c r="FL45" s="180"/>
      <c r="FM45" s="181"/>
      <c r="FN45" s="179"/>
      <c r="FO45" s="179"/>
      <c r="FP45" s="180"/>
      <c r="FQ45" s="181"/>
      <c r="FR45" s="179"/>
      <c r="FS45" s="179"/>
      <c r="FT45" s="180"/>
      <c r="FU45" s="181"/>
      <c r="FV45" s="179"/>
      <c r="FW45" s="179"/>
      <c r="FX45" s="180"/>
      <c r="FY45" s="181"/>
      <c r="FZ45" s="179"/>
      <c r="GA45" s="179"/>
      <c r="GB45" s="180"/>
      <c r="GC45" s="181"/>
      <c r="GD45" s="179"/>
      <c r="GE45" s="179"/>
      <c r="GF45" s="180"/>
      <c r="GG45" s="179"/>
    </row>
    <row r="46" spans="1:191" ht="16">
      <c r="A46" s="119" t="s">
        <v>284</v>
      </c>
      <c r="B46" s="164" t="s">
        <v>285</v>
      </c>
      <c r="C46" s="165" t="s">
        <v>108</v>
      </c>
      <c r="D46" s="166"/>
      <c r="E46" s="122">
        <v>0</v>
      </c>
      <c r="F46" s="123">
        <v>0</v>
      </c>
      <c r="G46" s="123">
        <v>0</v>
      </c>
      <c r="H46" s="124">
        <v>0</v>
      </c>
      <c r="I46" s="125">
        <v>0</v>
      </c>
      <c r="J46" s="123">
        <v>0</v>
      </c>
      <c r="K46" s="123">
        <v>0</v>
      </c>
      <c r="L46" s="124">
        <v>0</v>
      </c>
      <c r="M46" s="125">
        <v>0</v>
      </c>
      <c r="N46" s="123">
        <v>0</v>
      </c>
      <c r="O46" s="123">
        <v>0</v>
      </c>
      <c r="P46" s="124">
        <v>0</v>
      </c>
      <c r="Q46" s="125">
        <v>0</v>
      </c>
      <c r="R46" s="123">
        <v>0</v>
      </c>
      <c r="S46" s="123">
        <v>0</v>
      </c>
      <c r="T46" s="124">
        <v>0</v>
      </c>
      <c r="U46" s="125">
        <v>0</v>
      </c>
      <c r="V46" s="123">
        <v>0</v>
      </c>
      <c r="W46" s="123">
        <v>0</v>
      </c>
      <c r="X46" s="124">
        <v>0</v>
      </c>
      <c r="Y46" s="125">
        <v>0</v>
      </c>
      <c r="Z46" s="123">
        <v>0</v>
      </c>
      <c r="AA46" s="123">
        <v>0</v>
      </c>
      <c r="AB46" s="124">
        <v>0</v>
      </c>
      <c r="AC46" s="125">
        <v>0</v>
      </c>
      <c r="AD46" s="123">
        <v>0</v>
      </c>
      <c r="AE46" s="123">
        <v>0</v>
      </c>
      <c r="AF46" s="124">
        <v>0</v>
      </c>
      <c r="AG46" s="125">
        <v>0</v>
      </c>
      <c r="AH46" s="123">
        <v>0</v>
      </c>
      <c r="AI46" s="123">
        <v>0</v>
      </c>
      <c r="AJ46" s="124">
        <v>0</v>
      </c>
      <c r="AK46" s="125">
        <v>0</v>
      </c>
      <c r="AL46" s="123">
        <v>0</v>
      </c>
      <c r="AM46" s="123">
        <v>0</v>
      </c>
      <c r="AN46" s="124">
        <v>0</v>
      </c>
      <c r="AO46" s="125">
        <v>0</v>
      </c>
      <c r="AP46" s="123">
        <v>0</v>
      </c>
      <c r="AQ46" s="123">
        <v>0</v>
      </c>
      <c r="AR46" s="124">
        <v>0</v>
      </c>
      <c r="AS46" s="125">
        <v>0</v>
      </c>
      <c r="AT46" s="123">
        <v>0</v>
      </c>
      <c r="AU46" s="123">
        <v>0</v>
      </c>
      <c r="AV46" s="124">
        <v>0</v>
      </c>
      <c r="AW46" s="125">
        <v>0</v>
      </c>
      <c r="AX46" s="123">
        <v>0</v>
      </c>
      <c r="AY46" s="123">
        <v>0</v>
      </c>
      <c r="AZ46" s="124">
        <v>0</v>
      </c>
      <c r="BA46" s="125">
        <v>0</v>
      </c>
      <c r="BB46" s="123">
        <v>0</v>
      </c>
      <c r="BC46" s="123">
        <v>0</v>
      </c>
      <c r="BD46" s="124">
        <v>0</v>
      </c>
      <c r="BE46" s="125">
        <v>0</v>
      </c>
      <c r="BF46" s="123">
        <v>0</v>
      </c>
      <c r="BG46" s="123">
        <v>0</v>
      </c>
      <c r="BH46" s="124">
        <v>0</v>
      </c>
      <c r="BI46" s="125">
        <v>0</v>
      </c>
      <c r="BJ46" s="123">
        <v>0</v>
      </c>
      <c r="BK46" s="123">
        <v>0</v>
      </c>
      <c r="BL46" s="124">
        <v>0</v>
      </c>
      <c r="BM46" s="125">
        <v>0</v>
      </c>
      <c r="BN46" s="123">
        <v>0</v>
      </c>
      <c r="BO46" s="123">
        <v>0</v>
      </c>
      <c r="BP46" s="124">
        <v>0</v>
      </c>
      <c r="BQ46" s="125">
        <v>0</v>
      </c>
      <c r="BR46" s="123">
        <v>0</v>
      </c>
      <c r="BS46" s="123">
        <v>0</v>
      </c>
      <c r="BT46" s="124">
        <v>0</v>
      </c>
      <c r="BU46" s="125">
        <v>0</v>
      </c>
      <c r="BV46" s="123">
        <v>0</v>
      </c>
      <c r="BW46" s="123">
        <v>0</v>
      </c>
      <c r="BX46" s="124">
        <v>0</v>
      </c>
      <c r="BY46" s="125">
        <v>0</v>
      </c>
      <c r="BZ46" s="123">
        <v>0</v>
      </c>
      <c r="CA46" s="123">
        <v>0</v>
      </c>
      <c r="CB46" s="124">
        <v>0</v>
      </c>
      <c r="CC46" s="125">
        <v>0</v>
      </c>
      <c r="CD46" s="123">
        <v>0</v>
      </c>
      <c r="CE46" s="123">
        <v>0</v>
      </c>
      <c r="CF46" s="124">
        <v>0</v>
      </c>
      <c r="CG46" s="125">
        <v>0</v>
      </c>
      <c r="CH46" s="123">
        <v>0</v>
      </c>
      <c r="CI46" s="123">
        <v>0</v>
      </c>
      <c r="CJ46" s="124">
        <v>0</v>
      </c>
      <c r="CK46" s="125">
        <v>0</v>
      </c>
      <c r="CL46" s="123">
        <v>0</v>
      </c>
      <c r="CM46" s="123">
        <v>0</v>
      </c>
      <c r="CN46" s="124">
        <v>0</v>
      </c>
      <c r="CO46" s="125">
        <v>0</v>
      </c>
      <c r="CP46" s="123">
        <v>0</v>
      </c>
      <c r="CQ46" s="123">
        <v>0</v>
      </c>
      <c r="CR46" s="124">
        <v>0</v>
      </c>
      <c r="CS46" s="125">
        <v>0</v>
      </c>
      <c r="CT46" s="123">
        <v>0</v>
      </c>
      <c r="CU46" s="123">
        <v>0</v>
      </c>
      <c r="CV46" s="124">
        <v>0</v>
      </c>
      <c r="CW46" s="125">
        <v>0</v>
      </c>
      <c r="CX46" s="123">
        <v>0</v>
      </c>
      <c r="CY46" s="123">
        <v>0</v>
      </c>
      <c r="CZ46" s="124">
        <v>0</v>
      </c>
      <c r="DA46" s="125">
        <v>0</v>
      </c>
      <c r="DB46" s="123">
        <v>0</v>
      </c>
      <c r="DC46" s="123">
        <v>0</v>
      </c>
      <c r="DD46" s="124">
        <v>0</v>
      </c>
      <c r="DE46" s="125">
        <v>0</v>
      </c>
      <c r="DF46" s="123">
        <v>0</v>
      </c>
      <c r="DG46" s="123">
        <v>0</v>
      </c>
      <c r="DH46" s="124">
        <v>0</v>
      </c>
      <c r="DI46" s="125">
        <v>0</v>
      </c>
      <c r="DJ46" s="123">
        <v>0</v>
      </c>
      <c r="DK46" s="123">
        <v>0</v>
      </c>
      <c r="DL46" s="124">
        <v>0</v>
      </c>
      <c r="DM46" s="125">
        <v>0</v>
      </c>
      <c r="DN46" s="123">
        <v>0</v>
      </c>
      <c r="DO46" s="123">
        <v>0</v>
      </c>
      <c r="DP46" s="124">
        <v>0</v>
      </c>
      <c r="DQ46" s="125">
        <v>0</v>
      </c>
      <c r="DR46" s="123">
        <v>0</v>
      </c>
      <c r="DS46" s="123">
        <v>0</v>
      </c>
      <c r="DT46" s="124">
        <v>0</v>
      </c>
      <c r="DU46" s="125">
        <v>0</v>
      </c>
      <c r="DV46" s="123">
        <v>0</v>
      </c>
      <c r="DW46" s="123">
        <v>0</v>
      </c>
      <c r="DX46" s="124">
        <v>0</v>
      </c>
      <c r="DY46" s="125">
        <v>0</v>
      </c>
      <c r="DZ46" s="123">
        <v>0</v>
      </c>
      <c r="EA46" s="123">
        <v>0</v>
      </c>
      <c r="EB46" s="124">
        <v>0</v>
      </c>
      <c r="EC46" s="125">
        <v>0</v>
      </c>
      <c r="ED46" s="123">
        <v>0</v>
      </c>
      <c r="EE46" s="123">
        <v>0</v>
      </c>
      <c r="EF46" s="124">
        <v>0</v>
      </c>
      <c r="EG46" s="125">
        <v>0</v>
      </c>
      <c r="EH46" s="123">
        <v>0</v>
      </c>
      <c r="EI46" s="123">
        <v>0</v>
      </c>
      <c r="EJ46" s="124">
        <v>0</v>
      </c>
      <c r="EK46" s="125">
        <v>0</v>
      </c>
      <c r="EL46" s="123">
        <v>0</v>
      </c>
      <c r="EM46" s="123">
        <v>0</v>
      </c>
      <c r="EN46" s="124">
        <v>0</v>
      </c>
      <c r="EO46" s="125">
        <v>0</v>
      </c>
      <c r="EP46" s="123">
        <v>0</v>
      </c>
      <c r="EQ46" s="123">
        <v>0</v>
      </c>
      <c r="ER46" s="124">
        <v>0</v>
      </c>
      <c r="ES46" s="125">
        <v>0</v>
      </c>
      <c r="ET46" s="123">
        <v>0</v>
      </c>
      <c r="EU46" s="123">
        <v>0</v>
      </c>
      <c r="EV46" s="124">
        <v>0</v>
      </c>
      <c r="EW46" s="125">
        <v>0</v>
      </c>
      <c r="EX46" s="123">
        <v>0</v>
      </c>
      <c r="EY46" s="123">
        <v>0</v>
      </c>
      <c r="EZ46" s="124">
        <v>0</v>
      </c>
      <c r="FA46" s="125">
        <v>0</v>
      </c>
      <c r="FB46" s="123">
        <v>0</v>
      </c>
      <c r="FC46" s="123">
        <v>0</v>
      </c>
      <c r="FD46" s="163">
        <f t="shared" ref="FD46:FL46" si="50">+FD47+FD48+FD49+FD52</f>
        <v>6398</v>
      </c>
      <c r="FE46" s="163">
        <f t="shared" si="50"/>
        <v>6685.66</v>
      </c>
      <c r="FF46" s="163">
        <f t="shared" si="50"/>
        <v>6695.1559999999999</v>
      </c>
      <c r="FG46" s="163">
        <f t="shared" si="50"/>
        <v>6887.01</v>
      </c>
      <c r="FH46" s="163">
        <f t="shared" si="50"/>
        <v>6963.59</v>
      </c>
      <c r="FI46" s="163">
        <f t="shared" si="50"/>
        <v>7106.8159999999989</v>
      </c>
      <c r="FJ46" s="163">
        <f t="shared" si="50"/>
        <v>7138.3130000000001</v>
      </c>
      <c r="FK46" s="163">
        <f t="shared" si="50"/>
        <v>7515.2360000000008</v>
      </c>
      <c r="FL46" s="163">
        <f t="shared" si="50"/>
        <v>7425.049</v>
      </c>
      <c r="FM46" s="125">
        <v>7437.26</v>
      </c>
      <c r="FN46" s="123">
        <v>8182.0116905784744</v>
      </c>
      <c r="FO46" s="123">
        <v>7941.85</v>
      </c>
      <c r="FP46" s="124">
        <f>+FP47+FP48+FP49</f>
        <v>8360.6749500000005</v>
      </c>
      <c r="FQ46" s="124">
        <v>8488.08</v>
      </c>
      <c r="FR46" s="124">
        <v>8724.7150000000001</v>
      </c>
      <c r="FS46" s="123">
        <v>8899.39</v>
      </c>
      <c r="FT46" s="124">
        <v>9051</v>
      </c>
      <c r="FU46" s="125">
        <v>9583.4079999999994</v>
      </c>
      <c r="FV46" s="123">
        <v>10168.998</v>
      </c>
      <c r="FW46" s="123">
        <v>10343.811000000002</v>
      </c>
      <c r="FX46" s="124">
        <v>10088.98</v>
      </c>
      <c r="FY46" s="125">
        <v>10273.781000000001</v>
      </c>
      <c r="FZ46" s="123">
        <v>11088.95</v>
      </c>
      <c r="GA46" s="123">
        <v>0</v>
      </c>
      <c r="GB46" s="124">
        <v>0</v>
      </c>
      <c r="GC46" s="125">
        <v>0</v>
      </c>
      <c r="GD46" s="123">
        <v>0</v>
      </c>
      <c r="GE46" s="123">
        <v>0</v>
      </c>
      <c r="GF46" s="124">
        <v>0</v>
      </c>
      <c r="GG46" s="124"/>
    </row>
    <row r="47" spans="1:191" ht="16">
      <c r="A47" s="119" t="s">
        <v>286</v>
      </c>
      <c r="B47" s="167" t="s">
        <v>287</v>
      </c>
      <c r="C47" s="168" t="s">
        <v>288</v>
      </c>
      <c r="D47" s="169"/>
      <c r="E47" s="145"/>
      <c r="F47" s="146"/>
      <c r="G47" s="146"/>
      <c r="H47" s="147"/>
      <c r="I47" s="148"/>
      <c r="J47" s="146"/>
      <c r="K47" s="146"/>
      <c r="L47" s="147"/>
      <c r="M47" s="148"/>
      <c r="N47" s="146"/>
      <c r="O47" s="146"/>
      <c r="P47" s="147"/>
      <c r="Q47" s="148"/>
      <c r="R47" s="146"/>
      <c r="S47" s="146"/>
      <c r="T47" s="147"/>
      <c r="U47" s="148"/>
      <c r="V47" s="146"/>
      <c r="W47" s="146"/>
      <c r="X47" s="147"/>
      <c r="Y47" s="148"/>
      <c r="Z47" s="146"/>
      <c r="AA47" s="146"/>
      <c r="AB47" s="147"/>
      <c r="AC47" s="148"/>
      <c r="AD47" s="146"/>
      <c r="AE47" s="146"/>
      <c r="AF47" s="147"/>
      <c r="AG47" s="148"/>
      <c r="AH47" s="146"/>
      <c r="AI47" s="146"/>
      <c r="AJ47" s="147"/>
      <c r="AK47" s="148"/>
      <c r="AL47" s="146"/>
      <c r="AM47" s="146"/>
      <c r="AN47" s="147"/>
      <c r="AO47" s="148"/>
      <c r="AP47" s="146"/>
      <c r="AQ47" s="146"/>
      <c r="AR47" s="147"/>
      <c r="AS47" s="148"/>
      <c r="AT47" s="146"/>
      <c r="AU47" s="146"/>
      <c r="AV47" s="147"/>
      <c r="AW47" s="148"/>
      <c r="AX47" s="146"/>
      <c r="AY47" s="146"/>
      <c r="AZ47" s="147"/>
      <c r="BA47" s="148"/>
      <c r="BB47" s="146"/>
      <c r="BC47" s="146"/>
      <c r="BD47" s="147"/>
      <c r="BE47" s="148"/>
      <c r="BF47" s="146"/>
      <c r="BG47" s="146"/>
      <c r="BH47" s="147"/>
      <c r="BI47" s="148"/>
      <c r="BJ47" s="146"/>
      <c r="BK47" s="146"/>
      <c r="BL47" s="147"/>
      <c r="BM47" s="148"/>
      <c r="BN47" s="146"/>
      <c r="BO47" s="146"/>
      <c r="BP47" s="147"/>
      <c r="BQ47" s="148"/>
      <c r="BR47" s="146"/>
      <c r="BS47" s="146"/>
      <c r="BT47" s="147"/>
      <c r="BU47" s="148"/>
      <c r="BV47" s="146"/>
      <c r="BW47" s="146"/>
      <c r="BX47" s="147"/>
      <c r="BY47" s="148"/>
      <c r="BZ47" s="146"/>
      <c r="CA47" s="146"/>
      <c r="CB47" s="147"/>
      <c r="CC47" s="148"/>
      <c r="CD47" s="146"/>
      <c r="CE47" s="146"/>
      <c r="CF47" s="147"/>
      <c r="CG47" s="148"/>
      <c r="CH47" s="146"/>
      <c r="CI47" s="146"/>
      <c r="CJ47" s="147"/>
      <c r="CK47" s="148"/>
      <c r="CL47" s="146"/>
      <c r="CM47" s="146"/>
      <c r="CN47" s="147"/>
      <c r="CO47" s="148"/>
      <c r="CP47" s="146"/>
      <c r="CQ47" s="146"/>
      <c r="CR47" s="147"/>
      <c r="CS47" s="148"/>
      <c r="CT47" s="146"/>
      <c r="CU47" s="146"/>
      <c r="CV47" s="147"/>
      <c r="CW47" s="148"/>
      <c r="CX47" s="146"/>
      <c r="CY47" s="146"/>
      <c r="CZ47" s="147"/>
      <c r="DA47" s="148"/>
      <c r="DB47" s="146"/>
      <c r="DC47" s="146"/>
      <c r="DD47" s="147"/>
      <c r="DE47" s="148"/>
      <c r="DF47" s="146"/>
      <c r="DG47" s="146"/>
      <c r="DH47" s="147"/>
      <c r="DI47" s="148"/>
      <c r="DJ47" s="146"/>
      <c r="DK47" s="146"/>
      <c r="DL47" s="147"/>
      <c r="DM47" s="148"/>
      <c r="DN47" s="146"/>
      <c r="DO47" s="146"/>
      <c r="DP47" s="147"/>
      <c r="DQ47" s="148"/>
      <c r="DR47" s="146"/>
      <c r="DS47" s="146"/>
      <c r="DT47" s="147"/>
      <c r="DU47" s="148"/>
      <c r="DV47" s="146"/>
      <c r="DW47" s="146"/>
      <c r="DX47" s="147"/>
      <c r="DY47" s="148"/>
      <c r="DZ47" s="146"/>
      <c r="EA47" s="146"/>
      <c r="EB47" s="147"/>
      <c r="EC47" s="148"/>
      <c r="ED47" s="146"/>
      <c r="EE47" s="146"/>
      <c r="EF47" s="147"/>
      <c r="EG47" s="148"/>
      <c r="EH47" s="146"/>
      <c r="EI47" s="146"/>
      <c r="EJ47" s="147"/>
      <c r="EK47" s="148"/>
      <c r="EL47" s="146"/>
      <c r="EM47" s="146"/>
      <c r="EN47" s="147"/>
      <c r="EO47" s="148"/>
      <c r="EP47" s="146"/>
      <c r="EQ47" s="146"/>
      <c r="ER47" s="147"/>
      <c r="ES47" s="148"/>
      <c r="ET47" s="146"/>
      <c r="EU47" s="146"/>
      <c r="EV47" s="147"/>
      <c r="EW47" s="148"/>
      <c r="EX47" s="146"/>
      <c r="EY47" s="146"/>
      <c r="EZ47" s="147"/>
      <c r="FA47" s="148"/>
      <c r="FB47" s="146"/>
      <c r="FC47" s="146"/>
      <c r="FD47" s="147">
        <v>1839</v>
      </c>
      <c r="FE47" s="146">
        <f>1769+127.1</f>
        <v>1896.1</v>
      </c>
      <c r="FF47" s="146">
        <f>1771.1+131</f>
        <v>1902.1</v>
      </c>
      <c r="FG47" s="146">
        <f>1757.6+153.4</f>
        <v>1911</v>
      </c>
      <c r="FH47" s="147">
        <v>1815</v>
      </c>
      <c r="FI47" s="148">
        <f>1671.65+209.83</f>
        <v>1881.48</v>
      </c>
      <c r="FJ47" s="146">
        <f>1661.063+236.7</f>
        <v>1897.7630000000001</v>
      </c>
      <c r="FK47" s="146">
        <f>1702.211+259.77</f>
        <v>1961.981</v>
      </c>
      <c r="FL47" s="147">
        <f>1748.069+263.92</f>
        <v>2011.989</v>
      </c>
      <c r="FM47" s="148">
        <v>2014.5</v>
      </c>
      <c r="FN47" s="146">
        <v>2113.0633510708899</v>
      </c>
      <c r="FO47" s="146">
        <v>2075.0300000000002</v>
      </c>
      <c r="FP47" s="147">
        <f>+'[93]ENCOURS SERV T4 (2)'!$B$29</f>
        <v>1826.096122908742</v>
      </c>
      <c r="FQ47" s="148">
        <v>2837.5</v>
      </c>
      <c r="FR47" s="146">
        <v>2087.84</v>
      </c>
      <c r="FS47" s="146">
        <v>2099</v>
      </c>
      <c r="FT47" s="147">
        <v>2144.8000000000002</v>
      </c>
      <c r="FU47" s="148">
        <v>2382</v>
      </c>
      <c r="FV47" s="146">
        <v>2178.328</v>
      </c>
      <c r="FW47" s="146">
        <v>2179.4920000000002</v>
      </c>
      <c r="FX47" s="147">
        <v>2131.3000000000002</v>
      </c>
      <c r="FY47" s="148">
        <v>2174.1</v>
      </c>
      <c r="FZ47" s="146">
        <v>2400.1999999999998</v>
      </c>
      <c r="GA47" s="146"/>
      <c r="GB47" s="147"/>
      <c r="GC47" s="148"/>
      <c r="GD47" s="146"/>
      <c r="GE47" s="146"/>
      <c r="GF47" s="147"/>
      <c r="GG47" s="146"/>
    </row>
    <row r="48" spans="1:191" ht="16">
      <c r="A48" s="119" t="s">
        <v>289</v>
      </c>
      <c r="B48" s="167" t="s">
        <v>290</v>
      </c>
      <c r="C48" s="168" t="s">
        <v>291</v>
      </c>
      <c r="D48" s="169"/>
      <c r="E48" s="145"/>
      <c r="F48" s="146"/>
      <c r="G48" s="146"/>
      <c r="H48" s="147"/>
      <c r="I48" s="148"/>
      <c r="J48" s="146"/>
      <c r="K48" s="146"/>
      <c r="L48" s="147"/>
      <c r="M48" s="148"/>
      <c r="N48" s="146"/>
      <c r="O48" s="146"/>
      <c r="P48" s="147"/>
      <c r="Q48" s="148"/>
      <c r="R48" s="146"/>
      <c r="S48" s="146"/>
      <c r="T48" s="147"/>
      <c r="U48" s="148"/>
      <c r="V48" s="146"/>
      <c r="W48" s="146"/>
      <c r="X48" s="147"/>
      <c r="Y48" s="148"/>
      <c r="Z48" s="146"/>
      <c r="AA48" s="146"/>
      <c r="AB48" s="147"/>
      <c r="AC48" s="148"/>
      <c r="AD48" s="146"/>
      <c r="AE48" s="146"/>
      <c r="AF48" s="147"/>
      <c r="AG48" s="148"/>
      <c r="AH48" s="146"/>
      <c r="AI48" s="146"/>
      <c r="AJ48" s="147"/>
      <c r="AK48" s="148"/>
      <c r="AL48" s="146"/>
      <c r="AM48" s="146"/>
      <c r="AN48" s="147"/>
      <c r="AO48" s="148"/>
      <c r="AP48" s="146"/>
      <c r="AQ48" s="146"/>
      <c r="AR48" s="147"/>
      <c r="AS48" s="148"/>
      <c r="AT48" s="146"/>
      <c r="AU48" s="146"/>
      <c r="AV48" s="147"/>
      <c r="AW48" s="148"/>
      <c r="AX48" s="146"/>
      <c r="AY48" s="146"/>
      <c r="AZ48" s="147"/>
      <c r="BA48" s="148"/>
      <c r="BB48" s="146"/>
      <c r="BC48" s="146"/>
      <c r="BD48" s="147"/>
      <c r="BE48" s="148"/>
      <c r="BF48" s="146"/>
      <c r="BG48" s="146"/>
      <c r="BH48" s="147"/>
      <c r="BI48" s="148"/>
      <c r="BJ48" s="146"/>
      <c r="BK48" s="146"/>
      <c r="BL48" s="147"/>
      <c r="BM48" s="148"/>
      <c r="BN48" s="146"/>
      <c r="BO48" s="146"/>
      <c r="BP48" s="147"/>
      <c r="BQ48" s="148"/>
      <c r="BR48" s="146"/>
      <c r="BS48" s="146"/>
      <c r="BT48" s="147"/>
      <c r="BU48" s="148"/>
      <c r="BV48" s="146"/>
      <c r="BW48" s="146"/>
      <c r="BX48" s="147"/>
      <c r="BY48" s="148"/>
      <c r="BZ48" s="146"/>
      <c r="CA48" s="146"/>
      <c r="CB48" s="147"/>
      <c r="CC48" s="148"/>
      <c r="CD48" s="146"/>
      <c r="CE48" s="146"/>
      <c r="CF48" s="147"/>
      <c r="CG48" s="148"/>
      <c r="CH48" s="146"/>
      <c r="CI48" s="146"/>
      <c r="CJ48" s="147"/>
      <c r="CK48" s="148"/>
      <c r="CL48" s="146"/>
      <c r="CM48" s="146"/>
      <c r="CN48" s="147"/>
      <c r="CO48" s="148"/>
      <c r="CP48" s="146"/>
      <c r="CQ48" s="146"/>
      <c r="CR48" s="147"/>
      <c r="CS48" s="148"/>
      <c r="CT48" s="146"/>
      <c r="CU48" s="146"/>
      <c r="CV48" s="147"/>
      <c r="CW48" s="148"/>
      <c r="CX48" s="146"/>
      <c r="CY48" s="146"/>
      <c r="CZ48" s="147"/>
      <c r="DA48" s="148"/>
      <c r="DB48" s="146"/>
      <c r="DC48" s="146"/>
      <c r="DD48" s="147"/>
      <c r="DE48" s="148"/>
      <c r="DF48" s="146"/>
      <c r="DG48" s="146"/>
      <c r="DH48" s="147"/>
      <c r="DI48" s="148"/>
      <c r="DJ48" s="146"/>
      <c r="DK48" s="146"/>
      <c r="DL48" s="147"/>
      <c r="DM48" s="148"/>
      <c r="DN48" s="146"/>
      <c r="DO48" s="146"/>
      <c r="DP48" s="147"/>
      <c r="DQ48" s="148"/>
      <c r="DR48" s="146"/>
      <c r="DS48" s="146"/>
      <c r="DT48" s="147"/>
      <c r="DU48" s="148"/>
      <c r="DV48" s="146"/>
      <c r="DW48" s="146"/>
      <c r="DX48" s="147"/>
      <c r="DY48" s="148"/>
      <c r="DZ48" s="146"/>
      <c r="EA48" s="146"/>
      <c r="EB48" s="147"/>
      <c r="EC48" s="148"/>
      <c r="ED48" s="146"/>
      <c r="EE48" s="146"/>
      <c r="EF48" s="147"/>
      <c r="EG48" s="148"/>
      <c r="EH48" s="146"/>
      <c r="EI48" s="146"/>
      <c r="EJ48" s="147"/>
      <c r="EK48" s="148"/>
      <c r="EL48" s="146"/>
      <c r="EM48" s="146"/>
      <c r="EN48" s="147"/>
      <c r="EO48" s="148"/>
      <c r="EP48" s="146"/>
      <c r="EQ48" s="146"/>
      <c r="ER48" s="147"/>
      <c r="ES48" s="148"/>
      <c r="ET48" s="146"/>
      <c r="EU48" s="146"/>
      <c r="EV48" s="147"/>
      <c r="EW48" s="148"/>
      <c r="EX48" s="146"/>
      <c r="EY48" s="146"/>
      <c r="EZ48" s="147"/>
      <c r="FA48" s="148"/>
      <c r="FB48" s="146"/>
      <c r="FC48" s="146"/>
      <c r="FD48" s="147">
        <v>1845</v>
      </c>
      <c r="FE48" s="146">
        <f>2100.4-22.1-121.8</f>
        <v>1956.5000000000002</v>
      </c>
      <c r="FF48" s="146">
        <f>2126.2-123.96-13.83</f>
        <v>1988.4099999999999</v>
      </c>
      <c r="FG48" s="146">
        <f>2121.2-122.69-10.18</f>
        <v>1988.3299999999997</v>
      </c>
      <c r="FH48" s="147">
        <v>2338</v>
      </c>
      <c r="FI48" s="148">
        <f>2625.39-225.694</f>
        <v>2399.6959999999999</v>
      </c>
      <c r="FJ48" s="146">
        <f>2753.43-244.98</f>
        <v>2508.4499999999998</v>
      </c>
      <c r="FK48" s="146">
        <f>2896.445-234.125</f>
        <v>2662.32</v>
      </c>
      <c r="FL48" s="147">
        <f>2804.615-220.44</f>
        <v>2584.1749999999997</v>
      </c>
      <c r="FM48" s="148">
        <v>2571.9</v>
      </c>
      <c r="FN48" s="146">
        <v>2933.0761838390754</v>
      </c>
      <c r="FO48" s="146">
        <v>2746.8</v>
      </c>
      <c r="FP48" s="147">
        <f>+'[93]ENCOURS SERV T4 (2)'!$B$21</f>
        <v>2849.9899034871491</v>
      </c>
      <c r="FQ48" s="148">
        <v>2251.12</v>
      </c>
      <c r="FR48" s="146">
        <v>3157.1749999999997</v>
      </c>
      <c r="FS48" s="146">
        <v>3330.3999999999996</v>
      </c>
      <c r="FT48" s="147">
        <v>3236.4</v>
      </c>
      <c r="FU48" s="148">
        <v>3355.9</v>
      </c>
      <c r="FV48" s="146">
        <v>3644</v>
      </c>
      <c r="FW48" s="146">
        <v>3668.7</v>
      </c>
      <c r="FX48" s="147">
        <v>3601.9599999999996</v>
      </c>
      <c r="FY48" s="148">
        <v>3616.0010000000002</v>
      </c>
      <c r="FZ48" s="146">
        <v>3708.4599999999996</v>
      </c>
      <c r="GA48" s="146"/>
      <c r="GB48" s="147"/>
      <c r="GC48" s="148"/>
      <c r="GD48" s="146"/>
      <c r="GE48" s="146"/>
      <c r="GF48" s="147"/>
      <c r="GG48" s="146"/>
    </row>
    <row r="49" spans="1:190" ht="16">
      <c r="A49" s="119" t="s">
        <v>292</v>
      </c>
      <c r="B49" s="167" t="s">
        <v>293</v>
      </c>
      <c r="C49" s="168" t="s">
        <v>294</v>
      </c>
      <c r="D49" s="169"/>
      <c r="E49" s="153"/>
      <c r="F49" s="154"/>
      <c r="G49" s="154"/>
      <c r="H49" s="155"/>
      <c r="I49" s="156"/>
      <c r="J49" s="154"/>
      <c r="K49" s="154"/>
      <c r="L49" s="155"/>
      <c r="M49" s="156"/>
      <c r="N49" s="154"/>
      <c r="O49" s="154"/>
      <c r="P49" s="155"/>
      <c r="Q49" s="156"/>
      <c r="R49" s="154"/>
      <c r="S49" s="154"/>
      <c r="T49" s="155"/>
      <c r="U49" s="156"/>
      <c r="V49" s="154"/>
      <c r="W49" s="154"/>
      <c r="X49" s="155"/>
      <c r="Y49" s="156"/>
      <c r="Z49" s="154"/>
      <c r="AA49" s="154"/>
      <c r="AB49" s="155"/>
      <c r="AC49" s="156"/>
      <c r="AD49" s="154"/>
      <c r="AE49" s="154"/>
      <c r="AF49" s="155"/>
      <c r="AG49" s="156"/>
      <c r="AH49" s="154"/>
      <c r="AI49" s="154"/>
      <c r="AJ49" s="155"/>
      <c r="AK49" s="156"/>
      <c r="AL49" s="154"/>
      <c r="AM49" s="154"/>
      <c r="AN49" s="155"/>
      <c r="AO49" s="156"/>
      <c r="AP49" s="154"/>
      <c r="AQ49" s="154"/>
      <c r="AR49" s="155"/>
      <c r="AS49" s="156"/>
      <c r="AT49" s="154"/>
      <c r="AU49" s="154"/>
      <c r="AV49" s="155"/>
      <c r="AW49" s="156"/>
      <c r="AX49" s="154"/>
      <c r="AY49" s="154"/>
      <c r="AZ49" s="155"/>
      <c r="BA49" s="156"/>
      <c r="BB49" s="154"/>
      <c r="BC49" s="154"/>
      <c r="BD49" s="155"/>
      <c r="BE49" s="156"/>
      <c r="BF49" s="154"/>
      <c r="BG49" s="154"/>
      <c r="BH49" s="155"/>
      <c r="BI49" s="156"/>
      <c r="BJ49" s="154"/>
      <c r="BK49" s="154"/>
      <c r="BL49" s="155"/>
      <c r="BM49" s="156"/>
      <c r="BN49" s="154"/>
      <c r="BO49" s="154"/>
      <c r="BP49" s="155"/>
      <c r="BQ49" s="156"/>
      <c r="BR49" s="154"/>
      <c r="BS49" s="154"/>
      <c r="BT49" s="155"/>
      <c r="BU49" s="156"/>
      <c r="BV49" s="154"/>
      <c r="BW49" s="154"/>
      <c r="BX49" s="155"/>
      <c r="BY49" s="156"/>
      <c r="BZ49" s="154"/>
      <c r="CA49" s="154"/>
      <c r="CB49" s="155"/>
      <c r="CC49" s="156"/>
      <c r="CD49" s="154"/>
      <c r="CE49" s="154"/>
      <c r="CF49" s="155"/>
      <c r="CG49" s="156"/>
      <c r="CH49" s="154"/>
      <c r="CI49" s="154"/>
      <c r="CJ49" s="155"/>
      <c r="CK49" s="156"/>
      <c r="CL49" s="154"/>
      <c r="CM49" s="154"/>
      <c r="CN49" s="155"/>
      <c r="CO49" s="156"/>
      <c r="CP49" s="154"/>
      <c r="CQ49" s="154"/>
      <c r="CR49" s="155"/>
      <c r="CS49" s="156"/>
      <c r="CT49" s="154"/>
      <c r="CU49" s="154"/>
      <c r="CV49" s="155"/>
      <c r="CW49" s="156"/>
      <c r="CX49" s="154"/>
      <c r="CY49" s="154"/>
      <c r="CZ49" s="155"/>
      <c r="DA49" s="156"/>
      <c r="DB49" s="154"/>
      <c r="DC49" s="154"/>
      <c r="DD49" s="155"/>
      <c r="DE49" s="156"/>
      <c r="DF49" s="154"/>
      <c r="DG49" s="154"/>
      <c r="DH49" s="155"/>
      <c r="DI49" s="156"/>
      <c r="DJ49" s="154"/>
      <c r="DK49" s="154"/>
      <c r="DL49" s="155"/>
      <c r="DM49" s="156"/>
      <c r="DN49" s="154"/>
      <c r="DO49" s="154"/>
      <c r="DP49" s="155"/>
      <c r="DQ49" s="156"/>
      <c r="DR49" s="154"/>
      <c r="DS49" s="154"/>
      <c r="DT49" s="155"/>
      <c r="DU49" s="156"/>
      <c r="DV49" s="154"/>
      <c r="DW49" s="154"/>
      <c r="DX49" s="155"/>
      <c r="DY49" s="156"/>
      <c r="DZ49" s="154"/>
      <c r="EA49" s="154"/>
      <c r="EB49" s="155"/>
      <c r="EC49" s="156"/>
      <c r="ED49" s="154"/>
      <c r="EE49" s="154"/>
      <c r="EF49" s="155"/>
      <c r="EG49" s="156"/>
      <c r="EH49" s="154"/>
      <c r="EI49" s="154"/>
      <c r="EJ49" s="155"/>
      <c r="EK49" s="156"/>
      <c r="EL49" s="154"/>
      <c r="EM49" s="154"/>
      <c r="EN49" s="155"/>
      <c r="EO49" s="156"/>
      <c r="EP49" s="154"/>
      <c r="EQ49" s="154"/>
      <c r="ER49" s="155"/>
      <c r="ES49" s="156"/>
      <c r="ET49" s="154"/>
      <c r="EU49" s="154"/>
      <c r="EV49" s="155"/>
      <c r="EW49" s="156"/>
      <c r="EX49" s="154"/>
      <c r="EY49" s="154"/>
      <c r="EZ49" s="155"/>
      <c r="FA49" s="156"/>
      <c r="FB49" s="154"/>
      <c r="FC49" s="154"/>
      <c r="FD49" s="146">
        <f t="shared" ref="FD49:FI49" si="51">FD50+FD51</f>
        <v>2714</v>
      </c>
      <c r="FE49" s="146">
        <f t="shared" si="51"/>
        <v>2833.06</v>
      </c>
      <c r="FF49" s="146">
        <f t="shared" si="51"/>
        <v>2804.6460000000002</v>
      </c>
      <c r="FG49" s="146">
        <f t="shared" si="51"/>
        <v>2987.68</v>
      </c>
      <c r="FH49" s="146">
        <f t="shared" si="51"/>
        <v>2810.5899999999997</v>
      </c>
      <c r="FI49" s="146">
        <f t="shared" si="51"/>
        <v>2825.64</v>
      </c>
      <c r="FJ49" s="146">
        <f>+FJ50+FJ51</f>
        <v>2732.1</v>
      </c>
      <c r="FK49" s="146">
        <f>+FK50+FK51</f>
        <v>2890.9349999999999</v>
      </c>
      <c r="FL49" s="146">
        <f>+FL50+FL51</f>
        <v>2828.8850000000002</v>
      </c>
      <c r="FM49" s="156">
        <v>2850.86</v>
      </c>
      <c r="FN49" s="154">
        <v>3135.8721556685082</v>
      </c>
      <c r="FO49" s="154">
        <f>+FO50+FO51</f>
        <v>3119.9776069826648</v>
      </c>
      <c r="FP49" s="154">
        <v>3684.5889236041089</v>
      </c>
      <c r="FQ49" s="156">
        <v>3399.46</v>
      </c>
      <c r="FR49" s="154">
        <v>3479.7</v>
      </c>
      <c r="FS49" s="154">
        <v>3469.99</v>
      </c>
      <c r="FT49" s="155">
        <v>3669.8</v>
      </c>
      <c r="FU49" s="156">
        <v>3845.5079999999998</v>
      </c>
      <c r="FV49" s="154">
        <v>4346.67</v>
      </c>
      <c r="FW49" s="154">
        <v>4495.6190000000006</v>
      </c>
      <c r="FX49" s="155">
        <v>4355.72</v>
      </c>
      <c r="FY49" s="156">
        <v>4483.68</v>
      </c>
      <c r="FZ49" s="154">
        <v>4980.29</v>
      </c>
      <c r="GA49" s="154"/>
      <c r="GB49" s="155"/>
      <c r="GC49" s="156"/>
      <c r="GD49" s="154"/>
      <c r="GE49" s="154"/>
      <c r="GF49" s="155"/>
      <c r="GG49" s="154"/>
    </row>
    <row r="50" spans="1:190" ht="16">
      <c r="A50" s="119" t="s">
        <v>295</v>
      </c>
      <c r="B50" s="170"/>
      <c r="C50" s="182" t="s">
        <v>296</v>
      </c>
      <c r="D50" s="159"/>
      <c r="E50" s="130"/>
      <c r="F50" s="131"/>
      <c r="G50" s="131"/>
      <c r="H50" s="132"/>
      <c r="I50" s="133"/>
      <c r="J50" s="131"/>
      <c r="K50" s="131"/>
      <c r="L50" s="132"/>
      <c r="M50" s="133"/>
      <c r="N50" s="131"/>
      <c r="O50" s="131"/>
      <c r="P50" s="132"/>
      <c r="Q50" s="133"/>
      <c r="R50" s="131"/>
      <c r="S50" s="131"/>
      <c r="T50" s="132"/>
      <c r="U50" s="133"/>
      <c r="V50" s="131"/>
      <c r="W50" s="131"/>
      <c r="X50" s="132"/>
      <c r="Y50" s="133"/>
      <c r="Z50" s="131"/>
      <c r="AA50" s="131"/>
      <c r="AB50" s="132"/>
      <c r="AC50" s="133"/>
      <c r="AD50" s="131"/>
      <c r="AE50" s="131"/>
      <c r="AF50" s="132"/>
      <c r="AG50" s="133"/>
      <c r="AH50" s="131"/>
      <c r="AI50" s="131"/>
      <c r="AJ50" s="132"/>
      <c r="AK50" s="133"/>
      <c r="AL50" s="131"/>
      <c r="AM50" s="131"/>
      <c r="AN50" s="132"/>
      <c r="AO50" s="133"/>
      <c r="AP50" s="131"/>
      <c r="AQ50" s="131"/>
      <c r="AR50" s="132"/>
      <c r="AS50" s="133"/>
      <c r="AT50" s="131"/>
      <c r="AU50" s="131"/>
      <c r="AV50" s="132"/>
      <c r="AW50" s="133"/>
      <c r="AX50" s="131"/>
      <c r="AY50" s="131"/>
      <c r="AZ50" s="132"/>
      <c r="BA50" s="133"/>
      <c r="BB50" s="131"/>
      <c r="BC50" s="131"/>
      <c r="BD50" s="132"/>
      <c r="BE50" s="133"/>
      <c r="BF50" s="131"/>
      <c r="BG50" s="131"/>
      <c r="BH50" s="132"/>
      <c r="BI50" s="133"/>
      <c r="BJ50" s="131"/>
      <c r="BK50" s="131"/>
      <c r="BL50" s="132"/>
      <c r="BM50" s="133"/>
      <c r="BN50" s="131"/>
      <c r="BO50" s="131"/>
      <c r="BP50" s="132"/>
      <c r="BQ50" s="133"/>
      <c r="BR50" s="131"/>
      <c r="BS50" s="131"/>
      <c r="BT50" s="132"/>
      <c r="BU50" s="133"/>
      <c r="BV50" s="131"/>
      <c r="BW50" s="131"/>
      <c r="BX50" s="132"/>
      <c r="BY50" s="133"/>
      <c r="BZ50" s="131"/>
      <c r="CA50" s="131"/>
      <c r="CB50" s="132"/>
      <c r="CC50" s="133"/>
      <c r="CD50" s="131"/>
      <c r="CE50" s="131"/>
      <c r="CF50" s="132"/>
      <c r="CG50" s="133"/>
      <c r="CH50" s="131"/>
      <c r="CI50" s="131"/>
      <c r="CJ50" s="132"/>
      <c r="CK50" s="133"/>
      <c r="CL50" s="131"/>
      <c r="CM50" s="131"/>
      <c r="CN50" s="132"/>
      <c r="CO50" s="133"/>
      <c r="CP50" s="131"/>
      <c r="CQ50" s="131"/>
      <c r="CR50" s="132"/>
      <c r="CS50" s="133"/>
      <c r="CT50" s="131"/>
      <c r="CU50" s="131"/>
      <c r="CV50" s="132"/>
      <c r="CW50" s="133"/>
      <c r="CX50" s="131"/>
      <c r="CY50" s="131"/>
      <c r="CZ50" s="132"/>
      <c r="DA50" s="133"/>
      <c r="DB50" s="131"/>
      <c r="DC50" s="131"/>
      <c r="DD50" s="132"/>
      <c r="DE50" s="133"/>
      <c r="DF50" s="131"/>
      <c r="DG50" s="131"/>
      <c r="DH50" s="132"/>
      <c r="DI50" s="133"/>
      <c r="DJ50" s="131"/>
      <c r="DK50" s="131"/>
      <c r="DL50" s="132"/>
      <c r="DM50" s="133"/>
      <c r="DN50" s="131"/>
      <c r="DO50" s="131"/>
      <c r="DP50" s="132"/>
      <c r="DQ50" s="133"/>
      <c r="DR50" s="131"/>
      <c r="DS50" s="131"/>
      <c r="DT50" s="132"/>
      <c r="DU50" s="133"/>
      <c r="DV50" s="131"/>
      <c r="DW50" s="131"/>
      <c r="DX50" s="132"/>
      <c r="DY50" s="133"/>
      <c r="DZ50" s="131"/>
      <c r="EA50" s="131"/>
      <c r="EB50" s="132"/>
      <c r="EC50" s="133"/>
      <c r="ED50" s="131"/>
      <c r="EE50" s="131"/>
      <c r="EF50" s="132"/>
      <c r="EG50" s="133"/>
      <c r="EH50" s="131"/>
      <c r="EI50" s="131"/>
      <c r="EJ50" s="132"/>
      <c r="EK50" s="133"/>
      <c r="EL50" s="131"/>
      <c r="EM50" s="131"/>
      <c r="EN50" s="132"/>
      <c r="EO50" s="133"/>
      <c r="EP50" s="131"/>
      <c r="EQ50" s="131"/>
      <c r="ER50" s="132"/>
      <c r="ES50" s="133"/>
      <c r="ET50" s="131"/>
      <c r="EU50" s="131"/>
      <c r="EV50" s="132"/>
      <c r="EW50" s="133"/>
      <c r="EX50" s="131"/>
      <c r="EY50" s="131"/>
      <c r="EZ50" s="132"/>
      <c r="FA50" s="133"/>
      <c r="FB50" s="131"/>
      <c r="FC50" s="131"/>
      <c r="FD50" s="132">
        <v>308</v>
      </c>
      <c r="FE50" s="131">
        <f>213.67+37.8</f>
        <v>251.46999999999997</v>
      </c>
      <c r="FF50" s="131">
        <f>219.984+37.541</f>
        <v>257.52499999999998</v>
      </c>
      <c r="FG50" s="131">
        <f>215.08+28.6</f>
        <v>243.68</v>
      </c>
      <c r="FH50" s="132">
        <f>255.4+14.3</f>
        <v>269.7</v>
      </c>
      <c r="FI50" s="133">
        <f>278.83+4.94</f>
        <v>283.77</v>
      </c>
      <c r="FJ50" s="131">
        <f>326.4+42</f>
        <v>368.4</v>
      </c>
      <c r="FK50" s="131">
        <f>205.44+335.48+13.69</f>
        <v>554.61000000000013</v>
      </c>
      <c r="FL50" s="132">
        <f>36.87+379.66+14.44</f>
        <v>430.97</v>
      </c>
      <c r="FM50" s="133">
        <v>486.86</v>
      </c>
      <c r="FN50" s="131">
        <v>641.29146207624797</v>
      </c>
      <c r="FO50" s="131">
        <v>509.65760698266467</v>
      </c>
      <c r="FP50" s="132">
        <v>538.02494999999999</v>
      </c>
      <c r="FQ50" s="133">
        <v>619.05999999999995</v>
      </c>
      <c r="FR50" s="131">
        <v>648.73</v>
      </c>
      <c r="FS50" s="131">
        <v>644.99</v>
      </c>
      <c r="FT50" s="132">
        <v>808.82999999999993</v>
      </c>
      <c r="FU50" s="133">
        <v>921.49</v>
      </c>
      <c r="FV50" s="131">
        <v>904.77</v>
      </c>
      <c r="FW50" s="131">
        <v>953.92000000000007</v>
      </c>
      <c r="FX50" s="132">
        <v>996.62</v>
      </c>
      <c r="FY50" s="133">
        <v>1084.6200000000001</v>
      </c>
      <c r="FZ50" s="131">
        <v>1080.5900000000001</v>
      </c>
      <c r="GA50" s="131"/>
      <c r="GB50" s="132"/>
      <c r="GC50" s="133"/>
      <c r="GD50" s="131"/>
      <c r="GE50" s="131"/>
      <c r="GF50" s="132"/>
      <c r="GG50" s="131"/>
      <c r="GH50" s="95"/>
    </row>
    <row r="51" spans="1:190" ht="16">
      <c r="A51" s="119" t="s">
        <v>297</v>
      </c>
      <c r="B51" s="170"/>
      <c r="C51" s="182" t="s">
        <v>231</v>
      </c>
      <c r="D51" s="159"/>
      <c r="E51" s="130"/>
      <c r="F51" s="131"/>
      <c r="G51" s="131"/>
      <c r="H51" s="132"/>
      <c r="I51" s="133"/>
      <c r="J51" s="131"/>
      <c r="K51" s="131"/>
      <c r="L51" s="132"/>
      <c r="M51" s="133"/>
      <c r="N51" s="131"/>
      <c r="O51" s="131"/>
      <c r="P51" s="132"/>
      <c r="Q51" s="133"/>
      <c r="R51" s="131"/>
      <c r="S51" s="131"/>
      <c r="T51" s="132"/>
      <c r="U51" s="133"/>
      <c r="V51" s="131"/>
      <c r="W51" s="131"/>
      <c r="X51" s="132"/>
      <c r="Y51" s="133"/>
      <c r="Z51" s="131"/>
      <c r="AA51" s="131"/>
      <c r="AB51" s="132"/>
      <c r="AC51" s="133"/>
      <c r="AD51" s="131"/>
      <c r="AE51" s="131"/>
      <c r="AF51" s="132"/>
      <c r="AG51" s="133"/>
      <c r="AH51" s="131"/>
      <c r="AI51" s="131"/>
      <c r="AJ51" s="132"/>
      <c r="AK51" s="133"/>
      <c r="AL51" s="131"/>
      <c r="AM51" s="131"/>
      <c r="AN51" s="132"/>
      <c r="AO51" s="133"/>
      <c r="AP51" s="131"/>
      <c r="AQ51" s="131"/>
      <c r="AR51" s="132"/>
      <c r="AS51" s="133"/>
      <c r="AT51" s="131"/>
      <c r="AU51" s="131"/>
      <c r="AV51" s="132"/>
      <c r="AW51" s="133"/>
      <c r="AX51" s="131"/>
      <c r="AY51" s="131"/>
      <c r="AZ51" s="132"/>
      <c r="BA51" s="133"/>
      <c r="BB51" s="131"/>
      <c r="BC51" s="131"/>
      <c r="BD51" s="132"/>
      <c r="BE51" s="133"/>
      <c r="BF51" s="131"/>
      <c r="BG51" s="131"/>
      <c r="BH51" s="132"/>
      <c r="BI51" s="133"/>
      <c r="BJ51" s="131"/>
      <c r="BK51" s="131"/>
      <c r="BL51" s="132"/>
      <c r="BM51" s="133"/>
      <c r="BN51" s="131"/>
      <c r="BO51" s="131"/>
      <c r="BP51" s="132"/>
      <c r="BQ51" s="133"/>
      <c r="BR51" s="131"/>
      <c r="BS51" s="131"/>
      <c r="BT51" s="132"/>
      <c r="BU51" s="133"/>
      <c r="BV51" s="131"/>
      <c r="BW51" s="131"/>
      <c r="BX51" s="132"/>
      <c r="BY51" s="133"/>
      <c r="BZ51" s="131"/>
      <c r="CA51" s="131"/>
      <c r="CB51" s="132"/>
      <c r="CC51" s="133"/>
      <c r="CD51" s="131"/>
      <c r="CE51" s="131"/>
      <c r="CF51" s="132"/>
      <c r="CG51" s="133"/>
      <c r="CH51" s="131"/>
      <c r="CI51" s="131"/>
      <c r="CJ51" s="132"/>
      <c r="CK51" s="133"/>
      <c r="CL51" s="131"/>
      <c r="CM51" s="131"/>
      <c r="CN51" s="132"/>
      <c r="CO51" s="133"/>
      <c r="CP51" s="131"/>
      <c r="CQ51" s="131"/>
      <c r="CR51" s="132"/>
      <c r="CS51" s="133"/>
      <c r="CT51" s="131"/>
      <c r="CU51" s="131"/>
      <c r="CV51" s="132"/>
      <c r="CW51" s="133"/>
      <c r="CX51" s="131"/>
      <c r="CY51" s="131"/>
      <c r="CZ51" s="132"/>
      <c r="DA51" s="133"/>
      <c r="DB51" s="131"/>
      <c r="DC51" s="131"/>
      <c r="DD51" s="132"/>
      <c r="DE51" s="133"/>
      <c r="DF51" s="131"/>
      <c r="DG51" s="131"/>
      <c r="DH51" s="132"/>
      <c r="DI51" s="133"/>
      <c r="DJ51" s="131"/>
      <c r="DK51" s="131"/>
      <c r="DL51" s="132"/>
      <c r="DM51" s="133"/>
      <c r="DN51" s="131"/>
      <c r="DO51" s="131"/>
      <c r="DP51" s="132"/>
      <c r="DQ51" s="133"/>
      <c r="DR51" s="131"/>
      <c r="DS51" s="131"/>
      <c r="DT51" s="132"/>
      <c r="DU51" s="133"/>
      <c r="DV51" s="131"/>
      <c r="DW51" s="131"/>
      <c r="DX51" s="132"/>
      <c r="DY51" s="133"/>
      <c r="DZ51" s="131"/>
      <c r="EA51" s="131"/>
      <c r="EB51" s="132"/>
      <c r="EC51" s="133"/>
      <c r="ED51" s="131"/>
      <c r="EE51" s="131"/>
      <c r="EF51" s="132"/>
      <c r="EG51" s="133"/>
      <c r="EH51" s="131"/>
      <c r="EI51" s="131"/>
      <c r="EJ51" s="132"/>
      <c r="EK51" s="133"/>
      <c r="EL51" s="131"/>
      <c r="EM51" s="131"/>
      <c r="EN51" s="132"/>
      <c r="EO51" s="133"/>
      <c r="EP51" s="131"/>
      <c r="EQ51" s="131"/>
      <c r="ER51" s="132"/>
      <c r="ES51" s="133"/>
      <c r="ET51" s="131"/>
      <c r="EU51" s="131"/>
      <c r="EV51" s="132"/>
      <c r="EW51" s="133"/>
      <c r="EX51" s="131"/>
      <c r="EY51" s="131"/>
      <c r="EZ51" s="132"/>
      <c r="FA51" s="133"/>
      <c r="FB51" s="131"/>
      <c r="FC51" s="131"/>
      <c r="FD51" s="132">
        <v>2406</v>
      </c>
      <c r="FE51" s="131">
        <f>2581.59</f>
        <v>2581.59</v>
      </c>
      <c r="FF51" s="131">
        <v>2547.1210000000001</v>
      </c>
      <c r="FG51" s="131">
        <v>2744</v>
      </c>
      <c r="FH51" s="132">
        <v>2540.89</v>
      </c>
      <c r="FI51" s="133">
        <v>2541.87</v>
      </c>
      <c r="FJ51" s="131">
        <v>2363.6999999999998</v>
      </c>
      <c r="FK51" s="131">
        <v>2336.3249999999998</v>
      </c>
      <c r="FL51" s="132">
        <f>2307.721+40.998+49.196</f>
        <v>2397.915</v>
      </c>
      <c r="FM51" s="133">
        <v>2364</v>
      </c>
      <c r="FN51" s="131">
        <v>2494.5806935922601</v>
      </c>
      <c r="FO51" s="131">
        <v>2610.3200000000002</v>
      </c>
      <c r="FP51" s="132">
        <v>2610.3200000000002</v>
      </c>
      <c r="FQ51" s="133">
        <v>2780.4</v>
      </c>
      <c r="FR51" s="131">
        <v>2830.97</v>
      </c>
      <c r="FS51" s="131">
        <v>2825</v>
      </c>
      <c r="FT51" s="132">
        <v>2860.9</v>
      </c>
      <c r="FU51" s="133">
        <v>2924.018</v>
      </c>
      <c r="FV51" s="131">
        <v>3441.9</v>
      </c>
      <c r="FW51" s="131">
        <v>3541.6990000000001</v>
      </c>
      <c r="FX51" s="132">
        <v>3359.1</v>
      </c>
      <c r="FY51" s="133">
        <v>3399.06</v>
      </c>
      <c r="FZ51" s="131">
        <v>3899.7</v>
      </c>
      <c r="GA51" s="131"/>
      <c r="GB51" s="132"/>
      <c r="GC51" s="133"/>
      <c r="GD51" s="131"/>
      <c r="GE51" s="131"/>
      <c r="GF51" s="132"/>
      <c r="GG51" s="131"/>
    </row>
    <row r="52" spans="1:190" ht="16">
      <c r="A52" s="119" t="s">
        <v>298</v>
      </c>
      <c r="B52" s="167" t="s">
        <v>299</v>
      </c>
      <c r="C52" s="168" t="s">
        <v>300</v>
      </c>
      <c r="D52" s="169"/>
      <c r="E52" s="149"/>
      <c r="F52" s="150"/>
      <c r="G52" s="150"/>
      <c r="H52" s="151"/>
      <c r="I52" s="152"/>
      <c r="J52" s="150"/>
      <c r="K52" s="150"/>
      <c r="L52" s="151"/>
      <c r="M52" s="152"/>
      <c r="N52" s="150"/>
      <c r="O52" s="150"/>
      <c r="P52" s="151"/>
      <c r="Q52" s="152"/>
      <c r="R52" s="150"/>
      <c r="S52" s="150"/>
      <c r="T52" s="151"/>
      <c r="U52" s="152"/>
      <c r="V52" s="150"/>
      <c r="W52" s="150"/>
      <c r="X52" s="151"/>
      <c r="Y52" s="152"/>
      <c r="Z52" s="150"/>
      <c r="AA52" s="150"/>
      <c r="AB52" s="151"/>
      <c r="AC52" s="152"/>
      <c r="AD52" s="150"/>
      <c r="AE52" s="150"/>
      <c r="AF52" s="151"/>
      <c r="AG52" s="152"/>
      <c r="AH52" s="150"/>
      <c r="AI52" s="150"/>
      <c r="AJ52" s="151"/>
      <c r="AK52" s="152"/>
      <c r="AL52" s="150"/>
      <c r="AM52" s="150"/>
      <c r="AN52" s="151"/>
      <c r="AO52" s="152"/>
      <c r="AP52" s="150"/>
      <c r="AQ52" s="150"/>
      <c r="AR52" s="151"/>
      <c r="AS52" s="152"/>
      <c r="AT52" s="150"/>
      <c r="AU52" s="150"/>
      <c r="AV52" s="151"/>
      <c r="AW52" s="152"/>
      <c r="AX52" s="150"/>
      <c r="AY52" s="150"/>
      <c r="AZ52" s="151"/>
      <c r="BA52" s="152"/>
      <c r="BB52" s="150"/>
      <c r="BC52" s="150"/>
      <c r="BD52" s="151"/>
      <c r="BE52" s="152"/>
      <c r="BF52" s="150"/>
      <c r="BG52" s="150"/>
      <c r="BH52" s="151"/>
      <c r="BI52" s="152"/>
      <c r="BJ52" s="150"/>
      <c r="BK52" s="150"/>
      <c r="BL52" s="151"/>
      <c r="BM52" s="152"/>
      <c r="BN52" s="150"/>
      <c r="BO52" s="150"/>
      <c r="BP52" s="151"/>
      <c r="BQ52" s="152"/>
      <c r="BR52" s="150"/>
      <c r="BS52" s="150"/>
      <c r="BT52" s="151"/>
      <c r="BU52" s="152"/>
      <c r="BV52" s="150"/>
      <c r="BW52" s="150"/>
      <c r="BX52" s="151"/>
      <c r="BY52" s="152"/>
      <c r="BZ52" s="150"/>
      <c r="CA52" s="150"/>
      <c r="CB52" s="151"/>
      <c r="CC52" s="152"/>
      <c r="CD52" s="150"/>
      <c r="CE52" s="150"/>
      <c r="CF52" s="151"/>
      <c r="CG52" s="152"/>
      <c r="CH52" s="150"/>
      <c r="CI52" s="150"/>
      <c r="CJ52" s="151"/>
      <c r="CK52" s="152"/>
      <c r="CL52" s="150"/>
      <c r="CM52" s="150"/>
      <c r="CN52" s="151"/>
      <c r="CO52" s="152"/>
      <c r="CP52" s="150"/>
      <c r="CQ52" s="150"/>
      <c r="CR52" s="151"/>
      <c r="CS52" s="152"/>
      <c r="CT52" s="150"/>
      <c r="CU52" s="150"/>
      <c r="CV52" s="151"/>
      <c r="CW52" s="152"/>
      <c r="CX52" s="150"/>
      <c r="CY52" s="150"/>
      <c r="CZ52" s="151"/>
      <c r="DA52" s="152"/>
      <c r="DB52" s="150"/>
      <c r="DC52" s="150"/>
      <c r="DD52" s="151"/>
      <c r="DE52" s="152"/>
      <c r="DF52" s="150"/>
      <c r="DG52" s="150"/>
      <c r="DH52" s="151"/>
      <c r="DI52" s="152"/>
      <c r="DJ52" s="150"/>
      <c r="DK52" s="150"/>
      <c r="DL52" s="151"/>
      <c r="DM52" s="152"/>
      <c r="DN52" s="150"/>
      <c r="DO52" s="150"/>
      <c r="DP52" s="151"/>
      <c r="DQ52" s="152"/>
      <c r="DR52" s="150"/>
      <c r="DS52" s="150"/>
      <c r="DT52" s="151"/>
      <c r="DU52" s="152"/>
      <c r="DV52" s="150"/>
      <c r="DW52" s="150"/>
      <c r="DX52" s="151"/>
      <c r="DY52" s="152"/>
      <c r="DZ52" s="150"/>
      <c r="EA52" s="150"/>
      <c r="EB52" s="151"/>
      <c r="EC52" s="152"/>
      <c r="ED52" s="150"/>
      <c r="EE52" s="150"/>
      <c r="EF52" s="151"/>
      <c r="EG52" s="152"/>
      <c r="EH52" s="150"/>
      <c r="EI52" s="150"/>
      <c r="EJ52" s="151"/>
      <c r="EK52" s="152"/>
      <c r="EL52" s="150"/>
      <c r="EM52" s="150"/>
      <c r="EN52" s="151"/>
      <c r="EO52" s="152"/>
      <c r="EP52" s="150"/>
      <c r="EQ52" s="150"/>
      <c r="ER52" s="151"/>
      <c r="ES52" s="152"/>
      <c r="ET52" s="150"/>
      <c r="EU52" s="150"/>
      <c r="EV52" s="151"/>
      <c r="EW52" s="152"/>
      <c r="EX52" s="150"/>
      <c r="EY52" s="150"/>
      <c r="EZ52" s="151"/>
      <c r="FA52" s="152"/>
      <c r="FB52" s="150"/>
      <c r="FC52" s="150"/>
      <c r="FD52" s="151"/>
      <c r="FE52" s="150"/>
      <c r="FF52" s="150"/>
      <c r="FG52" s="150"/>
      <c r="FH52" s="151"/>
      <c r="FI52" s="152"/>
      <c r="FJ52" s="150"/>
      <c r="FK52" s="150"/>
      <c r="FL52" s="151"/>
      <c r="FM52" s="152"/>
      <c r="FN52" s="150"/>
      <c r="FO52" s="150"/>
      <c r="FP52" s="151"/>
      <c r="FQ52" s="152"/>
      <c r="FR52" s="150"/>
      <c r="FS52" s="150"/>
      <c r="FT52" s="151"/>
      <c r="FU52" s="152"/>
      <c r="FV52" s="150"/>
      <c r="FW52" s="150"/>
      <c r="FX52" s="151"/>
      <c r="FY52" s="152"/>
      <c r="FZ52" s="150"/>
      <c r="GA52" s="150"/>
      <c r="GB52" s="151"/>
      <c r="GC52" s="152"/>
      <c r="GD52" s="150"/>
      <c r="GE52" s="150"/>
      <c r="GF52" s="151"/>
      <c r="GG52" s="150"/>
    </row>
    <row r="53" spans="1:190" ht="16">
      <c r="A53" s="137"/>
      <c r="B53" s="113"/>
      <c r="C53" s="113" t="s">
        <v>301</v>
      </c>
      <c r="D53" s="114"/>
      <c r="E53" s="115"/>
      <c r="F53" s="116"/>
      <c r="G53" s="116"/>
      <c r="H53" s="117"/>
      <c r="I53" s="118"/>
      <c r="J53" s="116"/>
      <c r="K53" s="116"/>
      <c r="L53" s="117"/>
      <c r="M53" s="118"/>
      <c r="N53" s="116"/>
      <c r="O53" s="116"/>
      <c r="P53" s="117"/>
      <c r="Q53" s="118"/>
      <c r="R53" s="116"/>
      <c r="S53" s="116"/>
      <c r="T53" s="117"/>
      <c r="U53" s="118"/>
      <c r="V53" s="116"/>
      <c r="W53" s="116"/>
      <c r="X53" s="117"/>
      <c r="Y53" s="118"/>
      <c r="Z53" s="116"/>
      <c r="AA53" s="116"/>
      <c r="AB53" s="117"/>
      <c r="AC53" s="118"/>
      <c r="AD53" s="116"/>
      <c r="AE53" s="116"/>
      <c r="AF53" s="117"/>
      <c r="AG53" s="118"/>
      <c r="AH53" s="116"/>
      <c r="AI53" s="116"/>
      <c r="AJ53" s="117"/>
      <c r="AK53" s="118"/>
      <c r="AL53" s="116"/>
      <c r="AM53" s="116"/>
      <c r="AN53" s="117"/>
      <c r="AO53" s="118"/>
      <c r="AP53" s="116"/>
      <c r="AQ53" s="116"/>
      <c r="AR53" s="117"/>
      <c r="AS53" s="118"/>
      <c r="AT53" s="116"/>
      <c r="AU53" s="116"/>
      <c r="AV53" s="117"/>
      <c r="AW53" s="118"/>
      <c r="AX53" s="116"/>
      <c r="AY53" s="116"/>
      <c r="AZ53" s="117"/>
      <c r="BA53" s="118"/>
      <c r="BB53" s="116"/>
      <c r="BC53" s="116"/>
      <c r="BD53" s="117"/>
      <c r="BE53" s="118"/>
      <c r="BF53" s="116"/>
      <c r="BG53" s="116"/>
      <c r="BH53" s="117"/>
      <c r="BI53" s="118"/>
      <c r="BJ53" s="116"/>
      <c r="BK53" s="116"/>
      <c r="BL53" s="117"/>
      <c r="BM53" s="118"/>
      <c r="BN53" s="116"/>
      <c r="BO53" s="116"/>
      <c r="BP53" s="117"/>
      <c r="BQ53" s="118"/>
      <c r="BR53" s="116"/>
      <c r="BS53" s="116"/>
      <c r="BT53" s="117"/>
      <c r="BU53" s="118"/>
      <c r="BV53" s="116"/>
      <c r="BW53" s="116"/>
      <c r="BX53" s="117"/>
      <c r="BY53" s="118"/>
      <c r="BZ53" s="116"/>
      <c r="CA53" s="116"/>
      <c r="CB53" s="117"/>
      <c r="CC53" s="118"/>
      <c r="CD53" s="116"/>
      <c r="CE53" s="116"/>
      <c r="CF53" s="117"/>
      <c r="CG53" s="118"/>
      <c r="CH53" s="116"/>
      <c r="CI53" s="116"/>
      <c r="CJ53" s="117"/>
      <c r="CK53" s="118"/>
      <c r="CL53" s="116"/>
      <c r="CM53" s="116"/>
      <c r="CN53" s="117"/>
      <c r="CO53" s="118"/>
      <c r="CP53" s="116"/>
      <c r="CQ53" s="116"/>
      <c r="CR53" s="117"/>
      <c r="CS53" s="118"/>
      <c r="CT53" s="116"/>
      <c r="CU53" s="116"/>
      <c r="CV53" s="117"/>
      <c r="CW53" s="118"/>
      <c r="CX53" s="116"/>
      <c r="CY53" s="116"/>
      <c r="CZ53" s="117"/>
      <c r="DA53" s="118"/>
      <c r="DB53" s="116"/>
      <c r="DC53" s="116"/>
      <c r="DD53" s="117"/>
      <c r="DE53" s="118"/>
      <c r="DF53" s="116"/>
      <c r="DG53" s="116"/>
      <c r="DH53" s="117"/>
      <c r="DI53" s="118"/>
      <c r="DJ53" s="116"/>
      <c r="DK53" s="116"/>
      <c r="DL53" s="117"/>
      <c r="DM53" s="118"/>
      <c r="DN53" s="116"/>
      <c r="DO53" s="116"/>
      <c r="DP53" s="117"/>
      <c r="DQ53" s="118"/>
      <c r="DR53" s="116"/>
      <c r="DS53" s="116"/>
      <c r="DT53" s="117"/>
      <c r="DU53" s="118"/>
      <c r="DV53" s="116"/>
      <c r="DW53" s="116"/>
      <c r="DX53" s="117"/>
      <c r="DY53" s="118"/>
      <c r="DZ53" s="116"/>
      <c r="EA53" s="116"/>
      <c r="EB53" s="117"/>
      <c r="EC53" s="118"/>
      <c r="ED53" s="116"/>
      <c r="EE53" s="116"/>
      <c r="EF53" s="117"/>
      <c r="EG53" s="118"/>
      <c r="EH53" s="116"/>
      <c r="EI53" s="116"/>
      <c r="EJ53" s="117"/>
      <c r="EK53" s="118"/>
      <c r="EL53" s="116"/>
      <c r="EM53" s="116"/>
      <c r="EN53" s="117"/>
      <c r="EO53" s="118"/>
      <c r="EP53" s="116"/>
      <c r="EQ53" s="116"/>
      <c r="ER53" s="117"/>
      <c r="ES53" s="118"/>
      <c r="ET53" s="116"/>
      <c r="EU53" s="116"/>
      <c r="EV53" s="117"/>
      <c r="EW53" s="118"/>
      <c r="EX53" s="116"/>
      <c r="EY53" s="116"/>
      <c r="EZ53" s="117"/>
      <c r="FA53" s="118"/>
      <c r="FB53" s="116"/>
      <c r="FC53" s="116"/>
      <c r="FD53" s="117"/>
      <c r="FE53" s="116"/>
      <c r="FF53" s="116"/>
      <c r="FG53" s="116"/>
      <c r="FH53" s="117" t="s">
        <v>302</v>
      </c>
      <c r="FI53" s="118"/>
      <c r="FJ53" s="116"/>
      <c r="FK53" s="116"/>
      <c r="FL53" s="117"/>
      <c r="FM53" s="118"/>
      <c r="FN53" s="116"/>
      <c r="FO53" s="116"/>
      <c r="FP53" s="117"/>
      <c r="FQ53" s="118"/>
      <c r="FR53" s="116"/>
      <c r="FS53" s="116"/>
      <c r="FT53" s="117"/>
      <c r="FU53" s="118"/>
      <c r="FV53" s="116"/>
      <c r="FW53" s="116"/>
      <c r="FX53" s="117"/>
      <c r="FY53" s="118"/>
      <c r="FZ53" s="116"/>
      <c r="GA53" s="116"/>
      <c r="GB53" s="117"/>
      <c r="GC53" s="118"/>
      <c r="GD53" s="116"/>
      <c r="GE53" s="116"/>
      <c r="GF53" s="117"/>
      <c r="GG53" s="116"/>
    </row>
    <row r="54" spans="1:190" ht="16">
      <c r="A54" s="119" t="s">
        <v>303</v>
      </c>
      <c r="B54" s="160" t="s">
        <v>304</v>
      </c>
      <c r="C54" s="160" t="s">
        <v>305</v>
      </c>
      <c r="D54" s="159"/>
      <c r="E54" s="130"/>
      <c r="F54" s="130"/>
      <c r="G54" s="130"/>
      <c r="H54" s="183"/>
      <c r="I54" s="133"/>
      <c r="J54" s="130"/>
      <c r="K54" s="130"/>
      <c r="L54" s="183"/>
      <c r="M54" s="133"/>
      <c r="N54" s="130"/>
      <c r="O54" s="130"/>
      <c r="P54" s="183"/>
      <c r="Q54" s="133"/>
      <c r="R54" s="130"/>
      <c r="S54" s="130"/>
      <c r="T54" s="183"/>
      <c r="U54" s="133"/>
      <c r="V54" s="130"/>
      <c r="W54" s="130"/>
      <c r="X54" s="183"/>
      <c r="Y54" s="133"/>
      <c r="Z54" s="130"/>
      <c r="AA54" s="130"/>
      <c r="AB54" s="183"/>
      <c r="AC54" s="133"/>
      <c r="AD54" s="130"/>
      <c r="AE54" s="130"/>
      <c r="AF54" s="183"/>
      <c r="AG54" s="133"/>
      <c r="AH54" s="130"/>
      <c r="AI54" s="130"/>
      <c r="AJ54" s="183"/>
      <c r="AK54" s="133"/>
      <c r="AL54" s="130"/>
      <c r="AM54" s="130"/>
      <c r="AN54" s="183"/>
      <c r="AO54" s="133"/>
      <c r="AP54" s="130"/>
      <c r="AQ54" s="130"/>
      <c r="AR54" s="183"/>
      <c r="AS54" s="133"/>
      <c r="AT54" s="130"/>
      <c r="AU54" s="130"/>
      <c r="AV54" s="183"/>
      <c r="AW54" s="133"/>
      <c r="AX54" s="130"/>
      <c r="AY54" s="130"/>
      <c r="AZ54" s="183"/>
      <c r="BA54" s="133"/>
      <c r="BB54" s="130"/>
      <c r="BC54" s="130"/>
      <c r="BD54" s="183"/>
      <c r="BE54" s="133"/>
      <c r="BF54" s="130"/>
      <c r="BG54" s="130"/>
      <c r="BH54" s="183"/>
      <c r="BI54" s="133"/>
      <c r="BJ54" s="130"/>
      <c r="BK54" s="130"/>
      <c r="BL54" s="183"/>
      <c r="BM54" s="133"/>
      <c r="BN54" s="130"/>
      <c r="BO54" s="130"/>
      <c r="BP54" s="183"/>
      <c r="BQ54" s="133"/>
      <c r="BR54" s="130"/>
      <c r="BS54" s="130"/>
      <c r="BT54" s="183"/>
      <c r="BU54" s="133"/>
      <c r="BV54" s="130"/>
      <c r="BW54" s="130"/>
      <c r="BX54" s="183"/>
      <c r="BY54" s="133"/>
      <c r="BZ54" s="130"/>
      <c r="CA54" s="130"/>
      <c r="CB54" s="183"/>
      <c r="CC54" s="133"/>
      <c r="CD54" s="130"/>
      <c r="CE54" s="130"/>
      <c r="CF54" s="183"/>
      <c r="CG54" s="133"/>
      <c r="CH54" s="130"/>
      <c r="CI54" s="130"/>
      <c r="CJ54" s="183"/>
      <c r="CK54" s="133"/>
      <c r="CL54" s="130"/>
      <c r="CM54" s="130"/>
      <c r="CN54" s="183"/>
      <c r="CO54" s="133"/>
      <c r="CP54" s="130"/>
      <c r="CQ54" s="130"/>
      <c r="CR54" s="183"/>
      <c r="CS54" s="133"/>
      <c r="CT54" s="130"/>
      <c r="CU54" s="130"/>
      <c r="CV54" s="183"/>
      <c r="CW54" s="133"/>
      <c r="CX54" s="130"/>
      <c r="CY54" s="130"/>
      <c r="CZ54" s="183"/>
      <c r="DA54" s="133"/>
      <c r="DB54" s="130"/>
      <c r="DC54" s="130"/>
      <c r="DD54" s="183"/>
      <c r="DE54" s="133"/>
      <c r="DF54" s="130"/>
      <c r="DG54" s="130"/>
      <c r="DH54" s="183"/>
      <c r="DI54" s="133"/>
      <c r="DJ54" s="130"/>
      <c r="DK54" s="130"/>
      <c r="DL54" s="183"/>
      <c r="DM54" s="133"/>
      <c r="DN54" s="130"/>
      <c r="DO54" s="130"/>
      <c r="DP54" s="183"/>
      <c r="DQ54" s="133"/>
      <c r="DR54" s="130"/>
      <c r="DS54" s="130"/>
      <c r="DT54" s="183"/>
      <c r="DU54" s="133"/>
      <c r="DV54" s="130"/>
      <c r="DW54" s="130"/>
      <c r="DX54" s="183"/>
      <c r="DY54" s="133"/>
      <c r="DZ54" s="130"/>
      <c r="EA54" s="130"/>
      <c r="EB54" s="183"/>
      <c r="EC54" s="133"/>
      <c r="ED54" s="130"/>
      <c r="EE54" s="130"/>
      <c r="EF54" s="183"/>
      <c r="EG54" s="133"/>
      <c r="EH54" s="130"/>
      <c r="EI54" s="130"/>
      <c r="EJ54" s="183"/>
      <c r="EK54" s="133"/>
      <c r="EL54" s="130"/>
      <c r="EM54" s="130"/>
      <c r="EN54" s="183"/>
      <c r="EO54" s="133"/>
      <c r="EP54" s="130"/>
      <c r="EQ54" s="130"/>
      <c r="ER54" s="183"/>
      <c r="ES54" s="133"/>
      <c r="ET54" s="130"/>
      <c r="EU54" s="130"/>
      <c r="EV54" s="183"/>
      <c r="EW54" s="133"/>
      <c r="EX54" s="130"/>
      <c r="EY54" s="130"/>
      <c r="EZ54" s="183"/>
      <c r="FA54" s="133"/>
      <c r="FB54" s="130"/>
      <c r="FC54" s="130"/>
      <c r="FD54" s="183"/>
      <c r="FE54" s="130"/>
      <c r="FF54" s="130"/>
      <c r="FG54" s="130"/>
      <c r="FH54" s="183"/>
      <c r="FI54" s="133"/>
      <c r="FJ54" s="130"/>
      <c r="FK54" s="130"/>
      <c r="FL54" s="183"/>
      <c r="FM54" s="133"/>
      <c r="FN54" s="130"/>
      <c r="FO54" s="130"/>
      <c r="FP54" s="183"/>
      <c r="FQ54" s="133"/>
      <c r="FR54" s="130"/>
      <c r="FS54" s="130"/>
      <c r="FT54" s="183"/>
      <c r="FU54" s="133"/>
      <c r="FV54" s="130"/>
      <c r="FW54" s="130"/>
      <c r="FX54" s="183"/>
      <c r="FY54" s="133"/>
      <c r="FZ54" s="130"/>
      <c r="GA54" s="130"/>
      <c r="GB54" s="183"/>
      <c r="GC54" s="133"/>
      <c r="GD54" s="130"/>
      <c r="GE54" s="130"/>
      <c r="GF54" s="183"/>
      <c r="GG54" s="130"/>
    </row>
    <row r="55" spans="1:190" ht="16">
      <c r="A55" s="119" t="s">
        <v>306</v>
      </c>
      <c r="B55" s="160"/>
      <c r="C55" s="160" t="s">
        <v>307</v>
      </c>
      <c r="D55" s="159"/>
      <c r="E55" s="130"/>
      <c r="F55" s="130"/>
      <c r="G55" s="130"/>
      <c r="H55" s="183"/>
      <c r="I55" s="133"/>
      <c r="J55" s="130"/>
      <c r="K55" s="130"/>
      <c r="L55" s="183"/>
      <c r="M55" s="133"/>
      <c r="N55" s="130"/>
      <c r="O55" s="130"/>
      <c r="P55" s="183"/>
      <c r="Q55" s="133"/>
      <c r="R55" s="130"/>
      <c r="S55" s="130"/>
      <c r="T55" s="183"/>
      <c r="U55" s="133"/>
      <c r="V55" s="130"/>
      <c r="W55" s="130"/>
      <c r="X55" s="183"/>
      <c r="Y55" s="133"/>
      <c r="Z55" s="130"/>
      <c r="AA55" s="130"/>
      <c r="AB55" s="183"/>
      <c r="AC55" s="133"/>
      <c r="AD55" s="130"/>
      <c r="AE55" s="130"/>
      <c r="AF55" s="183"/>
      <c r="AG55" s="133"/>
      <c r="AH55" s="130"/>
      <c r="AI55" s="130"/>
      <c r="AJ55" s="183"/>
      <c r="AK55" s="133"/>
      <c r="AL55" s="130"/>
      <c r="AM55" s="130"/>
      <c r="AN55" s="183"/>
      <c r="AO55" s="133"/>
      <c r="AP55" s="130"/>
      <c r="AQ55" s="130"/>
      <c r="AR55" s="183"/>
      <c r="AS55" s="133"/>
      <c r="AT55" s="130"/>
      <c r="AU55" s="130"/>
      <c r="AV55" s="183"/>
      <c r="AW55" s="133"/>
      <c r="AX55" s="130"/>
      <c r="AY55" s="130"/>
      <c r="AZ55" s="183"/>
      <c r="BA55" s="133"/>
      <c r="BB55" s="130"/>
      <c r="BC55" s="130"/>
      <c r="BD55" s="183"/>
      <c r="BE55" s="133"/>
      <c r="BF55" s="130"/>
      <c r="BG55" s="130"/>
      <c r="BH55" s="183"/>
      <c r="BI55" s="133"/>
      <c r="BJ55" s="130"/>
      <c r="BK55" s="130"/>
      <c r="BL55" s="183"/>
      <c r="BM55" s="133"/>
      <c r="BN55" s="130"/>
      <c r="BO55" s="130"/>
      <c r="BP55" s="183"/>
      <c r="BQ55" s="133"/>
      <c r="BR55" s="130"/>
      <c r="BS55" s="130"/>
      <c r="BT55" s="183"/>
      <c r="BU55" s="133"/>
      <c r="BV55" s="130"/>
      <c r="BW55" s="130"/>
      <c r="BX55" s="183"/>
      <c r="BY55" s="133"/>
      <c r="BZ55" s="130"/>
      <c r="CA55" s="130"/>
      <c r="CB55" s="183"/>
      <c r="CC55" s="133"/>
      <c r="CD55" s="130"/>
      <c r="CE55" s="130"/>
      <c r="CF55" s="183"/>
      <c r="CG55" s="133"/>
      <c r="CH55" s="130"/>
      <c r="CI55" s="130"/>
      <c r="CJ55" s="183"/>
      <c r="CK55" s="133"/>
      <c r="CL55" s="130"/>
      <c r="CM55" s="130"/>
      <c r="CN55" s="183"/>
      <c r="CO55" s="133"/>
      <c r="CP55" s="130"/>
      <c r="CQ55" s="130"/>
      <c r="CR55" s="183"/>
      <c r="CS55" s="133"/>
      <c r="CT55" s="130"/>
      <c r="CU55" s="130"/>
      <c r="CV55" s="183"/>
      <c r="CW55" s="133"/>
      <c r="CX55" s="130"/>
      <c r="CY55" s="130"/>
      <c r="CZ55" s="183"/>
      <c r="DA55" s="133"/>
      <c r="DB55" s="130"/>
      <c r="DC55" s="130"/>
      <c r="DD55" s="183"/>
      <c r="DE55" s="133"/>
      <c r="DF55" s="130"/>
      <c r="DG55" s="130"/>
      <c r="DH55" s="183"/>
      <c r="DI55" s="133"/>
      <c r="DJ55" s="130"/>
      <c r="DK55" s="130"/>
      <c r="DL55" s="183"/>
      <c r="DM55" s="133"/>
      <c r="DN55" s="130"/>
      <c r="DO55" s="130"/>
      <c r="DP55" s="183"/>
      <c r="DQ55" s="133"/>
      <c r="DR55" s="130"/>
      <c r="DS55" s="130"/>
      <c r="DT55" s="183"/>
      <c r="DU55" s="133"/>
      <c r="DV55" s="130"/>
      <c r="DW55" s="130"/>
      <c r="DX55" s="183"/>
      <c r="DY55" s="133"/>
      <c r="DZ55" s="130"/>
      <c r="EA55" s="130"/>
      <c r="EB55" s="183"/>
      <c r="EC55" s="133"/>
      <c r="ED55" s="130"/>
      <c r="EE55" s="130"/>
      <c r="EF55" s="183"/>
      <c r="EG55" s="133"/>
      <c r="EH55" s="130"/>
      <c r="EI55" s="130"/>
      <c r="EJ55" s="183"/>
      <c r="EK55" s="133"/>
      <c r="EL55" s="130"/>
      <c r="EM55" s="130"/>
      <c r="EN55" s="183"/>
      <c r="EO55" s="133"/>
      <c r="EP55" s="130"/>
      <c r="EQ55" s="130"/>
      <c r="ER55" s="183"/>
      <c r="ES55" s="133"/>
      <c r="ET55" s="130"/>
      <c r="EU55" s="130"/>
      <c r="EV55" s="183"/>
      <c r="EW55" s="133"/>
      <c r="EX55" s="130"/>
      <c r="EY55" s="130"/>
      <c r="EZ55" s="183"/>
      <c r="FA55" s="133"/>
      <c r="FB55" s="130"/>
      <c r="FC55" s="130"/>
      <c r="FD55" s="183"/>
      <c r="FE55" s="130"/>
      <c r="FF55" s="130"/>
      <c r="FG55" s="130"/>
      <c r="FH55" s="183"/>
      <c r="FI55" s="133"/>
      <c r="FJ55" s="130"/>
      <c r="FK55" s="130"/>
      <c r="FL55" s="183"/>
      <c r="FM55" s="133"/>
      <c r="FN55" s="130"/>
      <c r="FO55" s="130"/>
      <c r="FP55" s="183"/>
      <c r="FQ55" s="133"/>
      <c r="FR55" s="130"/>
      <c r="FS55" s="130"/>
      <c r="FT55" s="183"/>
      <c r="FU55" s="133"/>
      <c r="FV55" s="130"/>
      <c r="FW55" s="130"/>
      <c r="FX55" s="183"/>
      <c r="FY55" s="133"/>
      <c r="FZ55" s="130"/>
      <c r="GA55" s="130"/>
      <c r="GB55" s="183"/>
      <c r="GC55" s="133"/>
      <c r="GD55" s="130"/>
      <c r="GE55" s="130"/>
      <c r="GF55" s="183"/>
      <c r="GG55" s="130"/>
    </row>
    <row r="56" spans="1:190" ht="16">
      <c r="A56" s="119" t="s">
        <v>308</v>
      </c>
      <c r="B56" s="160" t="s">
        <v>309</v>
      </c>
      <c r="C56" s="184" t="s">
        <v>310</v>
      </c>
      <c r="D56" s="185"/>
      <c r="E56" s="178"/>
      <c r="F56" s="178"/>
      <c r="G56" s="178"/>
      <c r="H56" s="186"/>
      <c r="I56" s="181"/>
      <c r="J56" s="178"/>
      <c r="K56" s="178"/>
      <c r="L56" s="186"/>
      <c r="M56" s="181"/>
      <c r="N56" s="178"/>
      <c r="O56" s="178"/>
      <c r="P56" s="186"/>
      <c r="Q56" s="181"/>
      <c r="R56" s="178"/>
      <c r="S56" s="178"/>
      <c r="T56" s="186"/>
      <c r="U56" s="181"/>
      <c r="V56" s="178"/>
      <c r="W56" s="178"/>
      <c r="X56" s="186"/>
      <c r="Y56" s="181"/>
      <c r="Z56" s="178"/>
      <c r="AA56" s="178"/>
      <c r="AB56" s="186"/>
      <c r="AC56" s="181"/>
      <c r="AD56" s="178"/>
      <c r="AE56" s="178"/>
      <c r="AF56" s="186"/>
      <c r="AG56" s="181"/>
      <c r="AH56" s="178"/>
      <c r="AI56" s="178"/>
      <c r="AJ56" s="186"/>
      <c r="AK56" s="181"/>
      <c r="AL56" s="178"/>
      <c r="AM56" s="178"/>
      <c r="AN56" s="186"/>
      <c r="AO56" s="181"/>
      <c r="AP56" s="178"/>
      <c r="AQ56" s="178"/>
      <c r="AR56" s="186"/>
      <c r="AS56" s="181"/>
      <c r="AT56" s="178"/>
      <c r="AU56" s="178"/>
      <c r="AV56" s="186"/>
      <c r="AW56" s="181"/>
      <c r="AX56" s="178"/>
      <c r="AY56" s="178"/>
      <c r="AZ56" s="186"/>
      <c r="BA56" s="181"/>
      <c r="BB56" s="178"/>
      <c r="BC56" s="178"/>
      <c r="BD56" s="186"/>
      <c r="BE56" s="181"/>
      <c r="BF56" s="178"/>
      <c r="BG56" s="178"/>
      <c r="BH56" s="186"/>
      <c r="BI56" s="181"/>
      <c r="BJ56" s="178"/>
      <c r="BK56" s="178"/>
      <c r="BL56" s="186"/>
      <c r="BM56" s="181"/>
      <c r="BN56" s="178"/>
      <c r="BO56" s="178"/>
      <c r="BP56" s="186"/>
      <c r="BQ56" s="181"/>
      <c r="BR56" s="178"/>
      <c r="BS56" s="178"/>
      <c r="BT56" s="186"/>
      <c r="BU56" s="181"/>
      <c r="BV56" s="178"/>
      <c r="BW56" s="178"/>
      <c r="BX56" s="186"/>
      <c r="BY56" s="181"/>
      <c r="BZ56" s="178"/>
      <c r="CA56" s="178"/>
      <c r="CB56" s="186"/>
      <c r="CC56" s="181"/>
      <c r="CD56" s="178"/>
      <c r="CE56" s="178"/>
      <c r="CF56" s="186"/>
      <c r="CG56" s="181"/>
      <c r="CH56" s="178"/>
      <c r="CI56" s="178"/>
      <c r="CJ56" s="186"/>
      <c r="CK56" s="181"/>
      <c r="CL56" s="178"/>
      <c r="CM56" s="178"/>
      <c r="CN56" s="186"/>
      <c r="CO56" s="181"/>
      <c r="CP56" s="178"/>
      <c r="CQ56" s="178"/>
      <c r="CR56" s="186"/>
      <c r="CS56" s="181"/>
      <c r="CT56" s="178"/>
      <c r="CU56" s="178"/>
      <c r="CV56" s="186"/>
      <c r="CW56" s="181"/>
      <c r="CX56" s="178"/>
      <c r="CY56" s="178"/>
      <c r="CZ56" s="186"/>
      <c r="DA56" s="181"/>
      <c r="DB56" s="178"/>
      <c r="DC56" s="178"/>
      <c r="DD56" s="186"/>
      <c r="DE56" s="181"/>
      <c r="DF56" s="178"/>
      <c r="DG56" s="178"/>
      <c r="DH56" s="186"/>
      <c r="DI56" s="181"/>
      <c r="DJ56" s="178"/>
      <c r="DK56" s="178"/>
      <c r="DL56" s="186"/>
      <c r="DM56" s="181"/>
      <c r="DN56" s="178"/>
      <c r="DO56" s="178"/>
      <c r="DP56" s="186"/>
      <c r="DQ56" s="181"/>
      <c r="DR56" s="178"/>
      <c r="DS56" s="178"/>
      <c r="DT56" s="186"/>
      <c r="DU56" s="181"/>
      <c r="DV56" s="178"/>
      <c r="DW56" s="178"/>
      <c r="DX56" s="186"/>
      <c r="DY56" s="181"/>
      <c r="DZ56" s="178"/>
      <c r="EA56" s="178"/>
      <c r="EB56" s="186"/>
      <c r="EC56" s="181"/>
      <c r="ED56" s="178"/>
      <c r="EE56" s="178"/>
      <c r="EF56" s="186"/>
      <c r="EG56" s="181"/>
      <c r="EH56" s="178"/>
      <c r="EI56" s="178"/>
      <c r="EJ56" s="186"/>
      <c r="EK56" s="181"/>
      <c r="EL56" s="178"/>
      <c r="EM56" s="178"/>
      <c r="EN56" s="186"/>
      <c r="EO56" s="181"/>
      <c r="EP56" s="178"/>
      <c r="EQ56" s="178"/>
      <c r="ER56" s="186"/>
      <c r="ES56" s="181"/>
      <c r="ET56" s="178"/>
      <c r="EU56" s="178"/>
      <c r="EV56" s="186"/>
      <c r="EW56" s="181"/>
      <c r="EX56" s="178"/>
      <c r="EY56" s="178"/>
      <c r="EZ56" s="186"/>
      <c r="FA56" s="181"/>
      <c r="FB56" s="178"/>
      <c r="FC56" s="178"/>
      <c r="FD56" s="186"/>
      <c r="FE56" s="178"/>
      <c r="FF56" s="178"/>
      <c r="FG56" s="178"/>
      <c r="FH56" s="186"/>
      <c r="FI56" s="181"/>
      <c r="FJ56" s="178"/>
      <c r="FK56" s="178"/>
      <c r="FL56" s="186"/>
      <c r="FM56" s="181"/>
      <c r="FN56" s="178"/>
      <c r="FO56" s="178"/>
      <c r="FP56" s="186"/>
      <c r="FQ56" s="181"/>
      <c r="FR56" s="178"/>
      <c r="FS56" s="178"/>
      <c r="FT56" s="186"/>
      <c r="FU56" s="181"/>
      <c r="FV56" s="178"/>
      <c r="FW56" s="178"/>
      <c r="FX56" s="186"/>
      <c r="FY56" s="181"/>
      <c r="FZ56" s="178"/>
      <c r="GA56" s="178"/>
      <c r="GB56" s="186"/>
      <c r="GC56" s="181"/>
      <c r="GD56" s="178"/>
      <c r="GE56" s="178"/>
      <c r="GF56" s="186"/>
      <c r="GG56" s="178"/>
    </row>
    <row r="57" spans="1:190" ht="34">
      <c r="A57" s="119" t="s">
        <v>311</v>
      </c>
      <c r="B57" s="160"/>
      <c r="C57" s="187" t="s">
        <v>312</v>
      </c>
      <c r="D57" s="188"/>
      <c r="E57" s="178"/>
      <c r="F57" s="178"/>
      <c r="G57" s="178"/>
      <c r="H57" s="186"/>
      <c r="I57" s="181"/>
      <c r="J57" s="178"/>
      <c r="K57" s="178"/>
      <c r="L57" s="186"/>
      <c r="M57" s="181"/>
      <c r="N57" s="178"/>
      <c r="O57" s="178"/>
      <c r="P57" s="186"/>
      <c r="Q57" s="181"/>
      <c r="R57" s="178"/>
      <c r="S57" s="178"/>
      <c r="T57" s="186"/>
      <c r="U57" s="181"/>
      <c r="V57" s="178"/>
      <c r="W57" s="178"/>
      <c r="X57" s="186"/>
      <c r="Y57" s="181"/>
      <c r="Z57" s="178"/>
      <c r="AA57" s="178"/>
      <c r="AB57" s="186"/>
      <c r="AC57" s="181"/>
      <c r="AD57" s="178"/>
      <c r="AE57" s="178"/>
      <c r="AF57" s="186"/>
      <c r="AG57" s="181"/>
      <c r="AH57" s="178"/>
      <c r="AI57" s="178"/>
      <c r="AJ57" s="186"/>
      <c r="AK57" s="181"/>
      <c r="AL57" s="178"/>
      <c r="AM57" s="178"/>
      <c r="AN57" s="186"/>
      <c r="AO57" s="181"/>
      <c r="AP57" s="178"/>
      <c r="AQ57" s="178"/>
      <c r="AR57" s="186"/>
      <c r="AS57" s="181"/>
      <c r="AT57" s="178"/>
      <c r="AU57" s="178"/>
      <c r="AV57" s="186"/>
      <c r="AW57" s="181"/>
      <c r="AX57" s="178"/>
      <c r="AY57" s="178"/>
      <c r="AZ57" s="186"/>
      <c r="BA57" s="181"/>
      <c r="BB57" s="178"/>
      <c r="BC57" s="178"/>
      <c r="BD57" s="186"/>
      <c r="BE57" s="181"/>
      <c r="BF57" s="178"/>
      <c r="BG57" s="178"/>
      <c r="BH57" s="186"/>
      <c r="BI57" s="181"/>
      <c r="BJ57" s="178"/>
      <c r="BK57" s="178"/>
      <c r="BL57" s="186"/>
      <c r="BM57" s="181"/>
      <c r="BN57" s="178"/>
      <c r="BO57" s="178"/>
      <c r="BP57" s="186"/>
      <c r="BQ57" s="181"/>
      <c r="BR57" s="178"/>
      <c r="BS57" s="178"/>
      <c r="BT57" s="186"/>
      <c r="BU57" s="181"/>
      <c r="BV57" s="178"/>
      <c r="BW57" s="178"/>
      <c r="BX57" s="186"/>
      <c r="BY57" s="181"/>
      <c r="BZ57" s="178"/>
      <c r="CA57" s="178"/>
      <c r="CB57" s="186"/>
      <c r="CC57" s="181"/>
      <c r="CD57" s="178"/>
      <c r="CE57" s="178"/>
      <c r="CF57" s="186"/>
      <c r="CG57" s="181"/>
      <c r="CH57" s="178"/>
      <c r="CI57" s="178"/>
      <c r="CJ57" s="186"/>
      <c r="CK57" s="181"/>
      <c r="CL57" s="178"/>
      <c r="CM57" s="178"/>
      <c r="CN57" s="186"/>
      <c r="CO57" s="181"/>
      <c r="CP57" s="178"/>
      <c r="CQ57" s="178"/>
      <c r="CR57" s="186"/>
      <c r="CS57" s="181"/>
      <c r="CT57" s="178"/>
      <c r="CU57" s="178"/>
      <c r="CV57" s="186"/>
      <c r="CW57" s="181"/>
      <c r="CX57" s="178"/>
      <c r="CY57" s="178"/>
      <c r="CZ57" s="186"/>
      <c r="DA57" s="181"/>
      <c r="DB57" s="178"/>
      <c r="DC57" s="178"/>
      <c r="DD57" s="186"/>
      <c r="DE57" s="181"/>
      <c r="DF57" s="178"/>
      <c r="DG57" s="178"/>
      <c r="DH57" s="186"/>
      <c r="DI57" s="181"/>
      <c r="DJ57" s="178"/>
      <c r="DK57" s="178"/>
      <c r="DL57" s="186"/>
      <c r="DM57" s="181"/>
      <c r="DN57" s="178"/>
      <c r="DO57" s="178"/>
      <c r="DP57" s="186"/>
      <c r="DQ57" s="181"/>
      <c r="DR57" s="178"/>
      <c r="DS57" s="178"/>
      <c r="DT57" s="186"/>
      <c r="DU57" s="181"/>
      <c r="DV57" s="178"/>
      <c r="DW57" s="178"/>
      <c r="DX57" s="186"/>
      <c r="DY57" s="181"/>
      <c r="DZ57" s="178"/>
      <c r="EA57" s="178"/>
      <c r="EB57" s="186"/>
      <c r="EC57" s="181"/>
      <c r="ED57" s="178"/>
      <c r="EE57" s="178"/>
      <c r="EF57" s="186"/>
      <c r="EG57" s="181"/>
      <c r="EH57" s="178"/>
      <c r="EI57" s="178"/>
      <c r="EJ57" s="186"/>
      <c r="EK57" s="181"/>
      <c r="EL57" s="178"/>
      <c r="EM57" s="178"/>
      <c r="EN57" s="186"/>
      <c r="EO57" s="181"/>
      <c r="EP57" s="178"/>
      <c r="EQ57" s="178"/>
      <c r="ER57" s="186"/>
      <c r="ES57" s="181"/>
      <c r="ET57" s="178"/>
      <c r="EU57" s="178"/>
      <c r="EV57" s="186"/>
      <c r="EW57" s="181"/>
      <c r="EX57" s="178"/>
      <c r="EY57" s="178"/>
      <c r="EZ57" s="186"/>
      <c r="FA57" s="181"/>
      <c r="FB57" s="178"/>
      <c r="FC57" s="178"/>
      <c r="FD57" s="186"/>
      <c r="FE57" s="178"/>
      <c r="FF57" s="178"/>
      <c r="FG57" s="178"/>
      <c r="FH57" s="186"/>
      <c r="FI57" s="181"/>
      <c r="FJ57" s="178"/>
      <c r="FK57" s="178"/>
      <c r="FL57" s="186"/>
      <c r="FM57" s="181"/>
      <c r="FN57" s="178"/>
      <c r="FO57" s="178"/>
      <c r="FP57" s="186"/>
      <c r="FQ57" s="181"/>
      <c r="FR57" s="178"/>
      <c r="FS57" s="178"/>
      <c r="FT57" s="186"/>
      <c r="FU57" s="181"/>
      <c r="FV57" s="178"/>
      <c r="FW57" s="178"/>
      <c r="FX57" s="186"/>
      <c r="FY57" s="181"/>
      <c r="FZ57" s="178"/>
      <c r="GA57" s="178"/>
      <c r="GB57" s="186"/>
      <c r="GC57" s="181"/>
      <c r="GD57" s="178"/>
      <c r="GE57" s="178"/>
      <c r="GF57" s="186"/>
      <c r="GG57" s="178"/>
    </row>
    <row r="58" spans="1:190" ht="34">
      <c r="A58" s="119" t="s">
        <v>313</v>
      </c>
      <c r="B58" s="160"/>
      <c r="C58" s="187" t="s">
        <v>314</v>
      </c>
      <c r="D58" s="188"/>
      <c r="E58" s="178"/>
      <c r="F58" s="178"/>
      <c r="G58" s="178"/>
      <c r="H58" s="186"/>
      <c r="I58" s="181"/>
      <c r="J58" s="178"/>
      <c r="K58" s="178"/>
      <c r="L58" s="186"/>
      <c r="M58" s="181"/>
      <c r="N58" s="178"/>
      <c r="O58" s="178"/>
      <c r="P58" s="186"/>
      <c r="Q58" s="181"/>
      <c r="R58" s="178"/>
      <c r="S58" s="178"/>
      <c r="T58" s="186"/>
      <c r="U58" s="181"/>
      <c r="V58" s="178"/>
      <c r="W58" s="178"/>
      <c r="X58" s="186"/>
      <c r="Y58" s="181"/>
      <c r="Z58" s="178"/>
      <c r="AA58" s="178"/>
      <c r="AB58" s="186"/>
      <c r="AC58" s="181"/>
      <c r="AD58" s="178"/>
      <c r="AE58" s="178"/>
      <c r="AF58" s="186"/>
      <c r="AG58" s="181"/>
      <c r="AH58" s="178"/>
      <c r="AI58" s="178"/>
      <c r="AJ58" s="186"/>
      <c r="AK58" s="181"/>
      <c r="AL58" s="178"/>
      <c r="AM58" s="178"/>
      <c r="AN58" s="186"/>
      <c r="AO58" s="181"/>
      <c r="AP58" s="178"/>
      <c r="AQ58" s="178"/>
      <c r="AR58" s="186"/>
      <c r="AS58" s="181"/>
      <c r="AT58" s="178"/>
      <c r="AU58" s="178"/>
      <c r="AV58" s="186"/>
      <c r="AW58" s="181"/>
      <c r="AX58" s="178"/>
      <c r="AY58" s="178"/>
      <c r="AZ58" s="186"/>
      <c r="BA58" s="181"/>
      <c r="BB58" s="178"/>
      <c r="BC58" s="178"/>
      <c r="BD58" s="186"/>
      <c r="BE58" s="181"/>
      <c r="BF58" s="178"/>
      <c r="BG58" s="178"/>
      <c r="BH58" s="186"/>
      <c r="BI58" s="181"/>
      <c r="BJ58" s="178"/>
      <c r="BK58" s="178"/>
      <c r="BL58" s="186"/>
      <c r="BM58" s="181"/>
      <c r="BN58" s="178"/>
      <c r="BO58" s="178"/>
      <c r="BP58" s="186"/>
      <c r="BQ58" s="181"/>
      <c r="BR58" s="178"/>
      <c r="BS58" s="178"/>
      <c r="BT58" s="186"/>
      <c r="BU58" s="181"/>
      <c r="BV58" s="178"/>
      <c r="BW58" s="178"/>
      <c r="BX58" s="186"/>
      <c r="BY58" s="181"/>
      <c r="BZ58" s="178"/>
      <c r="CA58" s="178"/>
      <c r="CB58" s="186"/>
      <c r="CC58" s="181"/>
      <c r="CD58" s="178"/>
      <c r="CE58" s="178"/>
      <c r="CF58" s="186"/>
      <c r="CG58" s="181"/>
      <c r="CH58" s="178"/>
      <c r="CI58" s="178"/>
      <c r="CJ58" s="186"/>
      <c r="CK58" s="181"/>
      <c r="CL58" s="178"/>
      <c r="CM58" s="178"/>
      <c r="CN58" s="186"/>
      <c r="CO58" s="181"/>
      <c r="CP58" s="178"/>
      <c r="CQ58" s="178"/>
      <c r="CR58" s="186"/>
      <c r="CS58" s="181"/>
      <c r="CT58" s="178"/>
      <c r="CU58" s="178"/>
      <c r="CV58" s="186"/>
      <c r="CW58" s="181"/>
      <c r="CX58" s="178"/>
      <c r="CY58" s="178"/>
      <c r="CZ58" s="186"/>
      <c r="DA58" s="181"/>
      <c r="DB58" s="178"/>
      <c r="DC58" s="178"/>
      <c r="DD58" s="186"/>
      <c r="DE58" s="181"/>
      <c r="DF58" s="178"/>
      <c r="DG58" s="178"/>
      <c r="DH58" s="186"/>
      <c r="DI58" s="181"/>
      <c r="DJ58" s="178"/>
      <c r="DK58" s="178"/>
      <c r="DL58" s="186"/>
      <c r="DM58" s="181"/>
      <c r="DN58" s="178"/>
      <c r="DO58" s="178"/>
      <c r="DP58" s="186"/>
      <c r="DQ58" s="181"/>
      <c r="DR58" s="178"/>
      <c r="DS58" s="178"/>
      <c r="DT58" s="186"/>
      <c r="DU58" s="181"/>
      <c r="DV58" s="178"/>
      <c r="DW58" s="178"/>
      <c r="DX58" s="186"/>
      <c r="DY58" s="181"/>
      <c r="DZ58" s="178"/>
      <c r="EA58" s="178"/>
      <c r="EB58" s="186"/>
      <c r="EC58" s="181"/>
      <c r="ED58" s="178"/>
      <c r="EE58" s="178"/>
      <c r="EF58" s="186"/>
      <c r="EG58" s="181"/>
      <c r="EH58" s="178"/>
      <c r="EI58" s="178"/>
      <c r="EJ58" s="186"/>
      <c r="EK58" s="181"/>
      <c r="EL58" s="178"/>
      <c r="EM58" s="178"/>
      <c r="EN58" s="186"/>
      <c r="EO58" s="181"/>
      <c r="EP58" s="178"/>
      <c r="EQ58" s="178"/>
      <c r="ER58" s="186"/>
      <c r="ES58" s="181"/>
      <c r="ET58" s="178"/>
      <c r="EU58" s="178"/>
      <c r="EV58" s="186"/>
      <c r="EW58" s="181"/>
      <c r="EX58" s="178"/>
      <c r="EY58" s="178"/>
      <c r="EZ58" s="186"/>
      <c r="FA58" s="181"/>
      <c r="FB58" s="178"/>
      <c r="FC58" s="178"/>
      <c r="FD58" s="186"/>
      <c r="FE58" s="178"/>
      <c r="FF58" s="178"/>
      <c r="FG58" s="178"/>
      <c r="FH58" s="186"/>
      <c r="FI58" s="181"/>
      <c r="FJ58" s="178"/>
      <c r="FK58" s="178"/>
      <c r="FL58" s="186"/>
      <c r="FM58" s="181"/>
      <c r="FN58" s="178"/>
      <c r="FO58" s="178"/>
      <c r="FP58" s="186"/>
      <c r="FQ58" s="181"/>
      <c r="FR58" s="178"/>
      <c r="FS58" s="178"/>
      <c r="FT58" s="186"/>
      <c r="FU58" s="181"/>
      <c r="FV58" s="178"/>
      <c r="FW58" s="178"/>
      <c r="FX58" s="186"/>
      <c r="FY58" s="181"/>
      <c r="FZ58" s="178"/>
      <c r="GA58" s="178"/>
      <c r="GB58" s="186"/>
      <c r="GC58" s="181"/>
      <c r="GD58" s="178"/>
      <c r="GE58" s="178"/>
      <c r="GF58" s="186"/>
      <c r="GG58" s="178"/>
    </row>
    <row r="59" spans="1:190" ht="16">
      <c r="A59" s="119" t="s">
        <v>315</v>
      </c>
      <c r="B59" s="141" t="s">
        <v>316</v>
      </c>
      <c r="C59" s="160" t="s">
        <v>317</v>
      </c>
      <c r="D59" s="159"/>
      <c r="E59" s="178"/>
      <c r="F59" s="179"/>
      <c r="G59" s="179"/>
      <c r="H59" s="180"/>
      <c r="I59" s="181"/>
      <c r="J59" s="179"/>
      <c r="K59" s="179"/>
      <c r="L59" s="180"/>
      <c r="M59" s="181"/>
      <c r="N59" s="179"/>
      <c r="O59" s="179"/>
      <c r="P59" s="180"/>
      <c r="Q59" s="181"/>
      <c r="R59" s="179"/>
      <c r="S59" s="179"/>
      <c r="T59" s="180"/>
      <c r="U59" s="181"/>
      <c r="V59" s="179"/>
      <c r="W59" s="179"/>
      <c r="X59" s="180"/>
      <c r="Y59" s="181"/>
      <c r="Z59" s="179"/>
      <c r="AA59" s="179"/>
      <c r="AB59" s="180"/>
      <c r="AC59" s="181"/>
      <c r="AD59" s="179"/>
      <c r="AE59" s="179"/>
      <c r="AF59" s="180"/>
      <c r="AG59" s="181"/>
      <c r="AH59" s="179"/>
      <c r="AI59" s="179"/>
      <c r="AJ59" s="180"/>
      <c r="AK59" s="181"/>
      <c r="AL59" s="179"/>
      <c r="AM59" s="179"/>
      <c r="AN59" s="180"/>
      <c r="AO59" s="181"/>
      <c r="AP59" s="179"/>
      <c r="AQ59" s="179"/>
      <c r="AR59" s="180"/>
      <c r="AS59" s="181"/>
      <c r="AT59" s="179"/>
      <c r="AU59" s="179"/>
      <c r="AV59" s="180"/>
      <c r="AW59" s="181"/>
      <c r="AX59" s="179"/>
      <c r="AY59" s="179"/>
      <c r="AZ59" s="180"/>
      <c r="BA59" s="181"/>
      <c r="BB59" s="179"/>
      <c r="BC59" s="179"/>
      <c r="BD59" s="180"/>
      <c r="BE59" s="181"/>
      <c r="BF59" s="179"/>
      <c r="BG59" s="179"/>
      <c r="BH59" s="180"/>
      <c r="BI59" s="181"/>
      <c r="BJ59" s="179"/>
      <c r="BK59" s="179"/>
      <c r="BL59" s="180"/>
      <c r="BM59" s="181"/>
      <c r="BN59" s="179"/>
      <c r="BO59" s="179"/>
      <c r="BP59" s="180"/>
      <c r="BQ59" s="181"/>
      <c r="BR59" s="179"/>
      <c r="BS59" s="179"/>
      <c r="BT59" s="180"/>
      <c r="BU59" s="181"/>
      <c r="BV59" s="179"/>
      <c r="BW59" s="179"/>
      <c r="BX59" s="180"/>
      <c r="BY59" s="181"/>
      <c r="BZ59" s="179"/>
      <c r="CA59" s="179"/>
      <c r="CB59" s="180"/>
      <c r="CC59" s="181"/>
      <c r="CD59" s="179"/>
      <c r="CE59" s="179"/>
      <c r="CF59" s="180"/>
      <c r="CG59" s="181"/>
      <c r="CH59" s="179"/>
      <c r="CI59" s="179"/>
      <c r="CJ59" s="180"/>
      <c r="CK59" s="181"/>
      <c r="CL59" s="179"/>
      <c r="CM59" s="179"/>
      <c r="CN59" s="180"/>
      <c r="CO59" s="181"/>
      <c r="CP59" s="179"/>
      <c r="CQ59" s="179"/>
      <c r="CR59" s="180"/>
      <c r="CS59" s="181"/>
      <c r="CT59" s="179"/>
      <c r="CU59" s="179"/>
      <c r="CV59" s="180"/>
      <c r="CW59" s="181"/>
      <c r="CX59" s="179"/>
      <c r="CY59" s="179"/>
      <c r="CZ59" s="180"/>
      <c r="DA59" s="181"/>
      <c r="DB59" s="179"/>
      <c r="DC59" s="179"/>
      <c r="DD59" s="180"/>
      <c r="DE59" s="181"/>
      <c r="DF59" s="179"/>
      <c r="DG59" s="179"/>
      <c r="DH59" s="180"/>
      <c r="DI59" s="181"/>
      <c r="DJ59" s="179"/>
      <c r="DK59" s="179"/>
      <c r="DL59" s="180"/>
      <c r="DM59" s="181"/>
      <c r="DN59" s="179"/>
      <c r="DO59" s="179"/>
      <c r="DP59" s="180"/>
      <c r="DQ59" s="181"/>
      <c r="DR59" s="179"/>
      <c r="DS59" s="179"/>
      <c r="DT59" s="180"/>
      <c r="DU59" s="181"/>
      <c r="DV59" s="179"/>
      <c r="DW59" s="179"/>
      <c r="DX59" s="180"/>
      <c r="DY59" s="181"/>
      <c r="DZ59" s="179"/>
      <c r="EA59" s="179"/>
      <c r="EB59" s="180"/>
      <c r="EC59" s="181"/>
      <c r="ED59" s="179"/>
      <c r="EE59" s="179"/>
      <c r="EF59" s="180"/>
      <c r="EG59" s="181"/>
      <c r="EH59" s="179"/>
      <c r="EI59" s="179"/>
      <c r="EJ59" s="180"/>
      <c r="EK59" s="181"/>
      <c r="EL59" s="179"/>
      <c r="EM59" s="179"/>
      <c r="EN59" s="180"/>
      <c r="EO59" s="181"/>
      <c r="EP59" s="179"/>
      <c r="EQ59" s="179"/>
      <c r="ER59" s="180"/>
      <c r="ES59" s="181"/>
      <c r="ET59" s="179"/>
      <c r="EU59" s="179"/>
      <c r="EV59" s="180"/>
      <c r="EW59" s="181"/>
      <c r="EX59" s="179"/>
      <c r="EY59" s="179"/>
      <c r="EZ59" s="180"/>
      <c r="FA59" s="181"/>
      <c r="FB59" s="179"/>
      <c r="FC59" s="179"/>
      <c r="FD59" s="180"/>
      <c r="FE59" s="179"/>
      <c r="FF59" s="179"/>
      <c r="FG59" s="179"/>
      <c r="FH59" s="180"/>
      <c r="FI59" s="181"/>
      <c r="FJ59" s="179"/>
      <c r="FK59" s="179"/>
      <c r="FL59" s="180"/>
      <c r="FM59" s="181"/>
      <c r="FN59" s="179"/>
      <c r="FO59" s="179"/>
      <c r="FP59" s="180"/>
      <c r="FQ59" s="181"/>
      <c r="FR59" s="179"/>
      <c r="FS59" s="179"/>
      <c r="FT59" s="180"/>
      <c r="FU59" s="181"/>
      <c r="FV59" s="179"/>
      <c r="FW59" s="179"/>
      <c r="FX59" s="180"/>
      <c r="FY59" s="181"/>
      <c r="FZ59" s="179"/>
      <c r="GA59" s="179"/>
      <c r="GB59" s="180"/>
      <c r="GC59" s="181"/>
      <c r="GD59" s="179"/>
      <c r="GE59" s="179"/>
      <c r="GF59" s="180"/>
      <c r="GG59" s="179"/>
    </row>
    <row r="60" spans="1:190" ht="16">
      <c r="A60" s="119" t="s">
        <v>318</v>
      </c>
      <c r="B60" s="141"/>
      <c r="C60" s="189" t="s">
        <v>319</v>
      </c>
      <c r="D60" s="190"/>
      <c r="E60" s="191"/>
      <c r="F60" s="192"/>
      <c r="G60" s="192"/>
      <c r="H60" s="193"/>
      <c r="I60" s="194"/>
      <c r="J60" s="192"/>
      <c r="K60" s="192"/>
      <c r="L60" s="193"/>
      <c r="M60" s="194"/>
      <c r="N60" s="192"/>
      <c r="O60" s="192"/>
      <c r="P60" s="193"/>
      <c r="Q60" s="194"/>
      <c r="R60" s="192"/>
      <c r="S60" s="192"/>
      <c r="T60" s="193"/>
      <c r="U60" s="194"/>
      <c r="V60" s="192"/>
      <c r="W60" s="192"/>
      <c r="X60" s="193"/>
      <c r="Y60" s="194"/>
      <c r="Z60" s="192"/>
      <c r="AA60" s="192"/>
      <c r="AB60" s="193"/>
      <c r="AC60" s="194"/>
      <c r="AD60" s="192"/>
      <c r="AE60" s="192"/>
      <c r="AF60" s="193"/>
      <c r="AG60" s="194"/>
      <c r="AH60" s="192"/>
      <c r="AI60" s="192"/>
      <c r="AJ60" s="193"/>
      <c r="AK60" s="194"/>
      <c r="AL60" s="192"/>
      <c r="AM60" s="192"/>
      <c r="AN60" s="193"/>
      <c r="AO60" s="194"/>
      <c r="AP60" s="192"/>
      <c r="AQ60" s="192"/>
      <c r="AR60" s="193"/>
      <c r="AS60" s="194"/>
      <c r="AT60" s="192"/>
      <c r="AU60" s="192"/>
      <c r="AV60" s="193"/>
      <c r="AW60" s="194"/>
      <c r="AX60" s="192"/>
      <c r="AY60" s="192"/>
      <c r="AZ60" s="193"/>
      <c r="BA60" s="194"/>
      <c r="BB60" s="192"/>
      <c r="BC60" s="192"/>
      <c r="BD60" s="193"/>
      <c r="BE60" s="194"/>
      <c r="BF60" s="192"/>
      <c r="BG60" s="192"/>
      <c r="BH60" s="193"/>
      <c r="BI60" s="194"/>
      <c r="BJ60" s="192"/>
      <c r="BK60" s="192"/>
      <c r="BL60" s="193"/>
      <c r="BM60" s="194"/>
      <c r="BN60" s="192"/>
      <c r="BO60" s="192"/>
      <c r="BP60" s="193"/>
      <c r="BQ60" s="194"/>
      <c r="BR60" s="192"/>
      <c r="BS60" s="192"/>
      <c r="BT60" s="193"/>
      <c r="BU60" s="194"/>
      <c r="BV60" s="192"/>
      <c r="BW60" s="192"/>
      <c r="BX60" s="193"/>
      <c r="BY60" s="194"/>
      <c r="BZ60" s="192"/>
      <c r="CA60" s="192"/>
      <c r="CB60" s="193"/>
      <c r="CC60" s="194"/>
      <c r="CD60" s="192"/>
      <c r="CE60" s="192"/>
      <c r="CF60" s="193"/>
      <c r="CG60" s="194"/>
      <c r="CH60" s="192"/>
      <c r="CI60" s="192"/>
      <c r="CJ60" s="193"/>
      <c r="CK60" s="194"/>
      <c r="CL60" s="192"/>
      <c r="CM60" s="192"/>
      <c r="CN60" s="193"/>
      <c r="CO60" s="194"/>
      <c r="CP60" s="192"/>
      <c r="CQ60" s="192"/>
      <c r="CR60" s="193"/>
      <c r="CS60" s="194"/>
      <c r="CT60" s="192"/>
      <c r="CU60" s="192"/>
      <c r="CV60" s="193"/>
      <c r="CW60" s="194"/>
      <c r="CX60" s="192"/>
      <c r="CY60" s="192"/>
      <c r="CZ60" s="193"/>
      <c r="DA60" s="194"/>
      <c r="DB60" s="192"/>
      <c r="DC60" s="192"/>
      <c r="DD60" s="193"/>
      <c r="DE60" s="194"/>
      <c r="DF60" s="192"/>
      <c r="DG60" s="192"/>
      <c r="DH60" s="193"/>
      <c r="DI60" s="194"/>
      <c r="DJ60" s="192"/>
      <c r="DK60" s="192"/>
      <c r="DL60" s="193"/>
      <c r="DM60" s="194"/>
      <c r="DN60" s="192"/>
      <c r="DO60" s="192"/>
      <c r="DP60" s="193"/>
      <c r="DQ60" s="194"/>
      <c r="DR60" s="192"/>
      <c r="DS60" s="192"/>
      <c r="DT60" s="193"/>
      <c r="DU60" s="194"/>
      <c r="DV60" s="192"/>
      <c r="DW60" s="192"/>
      <c r="DX60" s="193"/>
      <c r="DY60" s="194"/>
      <c r="DZ60" s="192"/>
      <c r="EA60" s="192"/>
      <c r="EB60" s="193"/>
      <c r="EC60" s="194"/>
      <c r="ED60" s="192"/>
      <c r="EE60" s="192"/>
      <c r="EF60" s="193"/>
      <c r="EG60" s="194"/>
      <c r="EH60" s="192"/>
      <c r="EI60" s="192"/>
      <c r="EJ60" s="193"/>
      <c r="EK60" s="194"/>
      <c r="EL60" s="192"/>
      <c r="EM60" s="192"/>
      <c r="EN60" s="193"/>
      <c r="EO60" s="194"/>
      <c r="EP60" s="192"/>
      <c r="EQ60" s="192"/>
      <c r="ER60" s="193"/>
      <c r="ES60" s="194"/>
      <c r="ET60" s="192"/>
      <c r="EU60" s="192"/>
      <c r="EV60" s="193"/>
      <c r="EW60" s="194"/>
      <c r="EX60" s="192"/>
      <c r="EY60" s="192"/>
      <c r="EZ60" s="193"/>
      <c r="FA60" s="194"/>
      <c r="FB60" s="192"/>
      <c r="FC60" s="192"/>
      <c r="FD60" s="193"/>
      <c r="FE60" s="192"/>
      <c r="FF60" s="192"/>
      <c r="FG60" s="192"/>
      <c r="FH60" s="193"/>
      <c r="FI60" s="194"/>
      <c r="FJ60" s="192"/>
      <c r="FK60" s="192"/>
      <c r="FL60" s="193"/>
      <c r="FM60" s="194"/>
      <c r="FN60" s="192"/>
      <c r="FO60" s="192"/>
      <c r="FP60" s="193"/>
      <c r="FQ60" s="194"/>
      <c r="FR60" s="192"/>
      <c r="FS60" s="192"/>
      <c r="FT60" s="193"/>
      <c r="FU60" s="194"/>
      <c r="FV60" s="192"/>
      <c r="FW60" s="192"/>
      <c r="FX60" s="193"/>
      <c r="FY60" s="194"/>
      <c r="FZ60" s="192"/>
      <c r="GA60" s="192"/>
      <c r="GB60" s="193"/>
      <c r="GC60" s="194"/>
      <c r="GD60" s="192"/>
      <c r="GE60" s="192"/>
      <c r="GF60" s="193"/>
      <c r="GG60" s="192"/>
    </row>
    <row r="62" spans="1:190">
      <c r="FT62" s="95"/>
    </row>
  </sheetData>
  <mergeCells count="47">
    <mergeCell ref="FU8:FX8"/>
    <mergeCell ref="GH8:GK8"/>
    <mergeCell ref="FY8:GB8"/>
    <mergeCell ref="AS8:AV8"/>
    <mergeCell ref="AW8:AZ8"/>
    <mergeCell ref="BA8:BD8"/>
    <mergeCell ref="FM8:FP8"/>
    <mergeCell ref="FQ8:FT8"/>
    <mergeCell ref="BE8:BH8"/>
    <mergeCell ref="BI8:BL8"/>
    <mergeCell ref="BM8:BP8"/>
    <mergeCell ref="DM8:DP8"/>
    <mergeCell ref="BU8:BX8"/>
    <mergeCell ref="BY8:CB8"/>
    <mergeCell ref="CC8:CF8"/>
    <mergeCell ref="CG8:CJ8"/>
    <mergeCell ref="Y8:AB8"/>
    <mergeCell ref="AC8:AF8"/>
    <mergeCell ref="AG8:AJ8"/>
    <mergeCell ref="AK8:AN8"/>
    <mergeCell ref="AO8:AR8"/>
    <mergeCell ref="U8:X8"/>
    <mergeCell ref="A2:C2"/>
    <mergeCell ref="E8:H8"/>
    <mergeCell ref="I8:L8"/>
    <mergeCell ref="M8:P8"/>
    <mergeCell ref="Q8:T8"/>
    <mergeCell ref="DE8:DH8"/>
    <mergeCell ref="DI8:DL8"/>
    <mergeCell ref="BQ8:BT8"/>
    <mergeCell ref="DY8:EB8"/>
    <mergeCell ref="DU8:DX8"/>
    <mergeCell ref="DQ8:DT8"/>
    <mergeCell ref="CK8:CN8"/>
    <mergeCell ref="CO8:CR8"/>
    <mergeCell ref="CS8:CV8"/>
    <mergeCell ref="CW8:CZ8"/>
    <mergeCell ref="DA8:DD8"/>
    <mergeCell ref="FI8:FL8"/>
    <mergeCell ref="EC8:EF8"/>
    <mergeCell ref="EG8:EJ8"/>
    <mergeCell ref="EK8:EN8"/>
    <mergeCell ref="EO8:ER8"/>
    <mergeCell ref="ES8:EV8"/>
    <mergeCell ref="EW8:EZ8"/>
    <mergeCell ref="FA8:FD8"/>
    <mergeCell ref="FE8:FH8"/>
  </mergeCells>
  <hyperlinks>
    <hyperlink ref="C5" location="'LISTE DES FICHES'!A1" display="RETOUR A LA LISTE DES FICHE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B1:K40"/>
  <sheetViews>
    <sheetView workbookViewId="0">
      <selection activeCell="G9" sqref="G9"/>
    </sheetView>
  </sheetViews>
  <sheetFormatPr baseColWidth="10" defaultColWidth="11.5" defaultRowHeight="15"/>
  <cols>
    <col min="1" max="1" width="11.5" style="195"/>
    <col min="2" max="2" width="67.6640625" style="195" customWidth="1"/>
    <col min="3" max="5" width="10.83203125" style="195" customWidth="1"/>
    <col min="6" max="6" width="17.6640625" style="195" customWidth="1"/>
    <col min="7" max="7" width="43.33203125" style="195" bestFit="1" customWidth="1"/>
    <col min="8" max="9" width="11.5" style="195"/>
    <col min="10" max="10" width="20.33203125" style="195" customWidth="1"/>
    <col min="11" max="11" width="19.6640625" style="195" bestFit="1" customWidth="1"/>
    <col min="12" max="16384" width="11.5" style="195"/>
  </cols>
  <sheetData>
    <row r="1" spans="2:7" ht="16" thickBot="1"/>
    <row r="2" spans="2:7" ht="24.75" customHeight="1" thickBot="1">
      <c r="B2" s="381" t="s">
        <v>320</v>
      </c>
      <c r="C2" s="325">
        <v>2020</v>
      </c>
      <c r="D2" s="325">
        <v>2021</v>
      </c>
      <c r="E2" s="325">
        <v>2022</v>
      </c>
      <c r="F2" s="325" t="s">
        <v>724</v>
      </c>
    </row>
    <row r="3" spans="2:7" ht="28.5" customHeight="1">
      <c r="B3" s="196" t="s">
        <v>321</v>
      </c>
      <c r="C3" s="207">
        <f>C4</f>
        <v>2422.3967633533043</v>
      </c>
      <c r="D3" s="207">
        <f>D4</f>
        <v>3400.0132355400001</v>
      </c>
      <c r="E3" s="207">
        <f>+E4+E12</f>
        <v>3490.6986565269999</v>
      </c>
      <c r="F3" s="207">
        <f>+F4+F12</f>
        <v>4175.4558893019976</v>
      </c>
    </row>
    <row r="4" spans="2:7" ht="16">
      <c r="B4" s="197" t="s">
        <v>322</v>
      </c>
      <c r="C4" s="208">
        <f>C5+C6+C7+C8+C9+C10+C11</f>
        <v>2422.3967633533043</v>
      </c>
      <c r="D4" s="208">
        <f>D5+D6+D7+D8+D9+D10+D11</f>
        <v>3400.0132355400001</v>
      </c>
      <c r="E4" s="208">
        <f>+E5+E6+E7+E8+E11</f>
        <v>3490.6986565269999</v>
      </c>
      <c r="F4" s="208">
        <f>+F5+F6+F7+F8+F11</f>
        <v>4175.4558893019976</v>
      </c>
    </row>
    <row r="5" spans="2:7" ht="16">
      <c r="B5" s="198" t="s">
        <v>323</v>
      </c>
      <c r="C5" s="209">
        <v>178.89623665930412</v>
      </c>
      <c r="D5" s="209">
        <v>298.82212017900002</v>
      </c>
      <c r="E5" s="209">
        <f>118114541166/1000000000</f>
        <v>118.114541166</v>
      </c>
      <c r="F5" s="209">
        <f>86492.0472749975/1000</f>
        <v>86.492047274997503</v>
      </c>
    </row>
    <row r="6" spans="2:7" ht="16">
      <c r="B6" s="198" t="s">
        <v>324</v>
      </c>
      <c r="C6" s="200">
        <v>0</v>
      </c>
      <c r="D6" s="200">
        <v>0</v>
      </c>
      <c r="E6" s="200">
        <v>0</v>
      </c>
      <c r="F6" s="200"/>
    </row>
    <row r="7" spans="2:7" ht="16">
      <c r="B7" s="198" t="s">
        <v>325</v>
      </c>
      <c r="C7" s="199">
        <v>461.85903006899997</v>
      </c>
      <c r="D7" s="199">
        <v>520.65903006899998</v>
      </c>
      <c r="E7" s="199">
        <f>+D7+292</f>
        <v>812.65903006899998</v>
      </c>
      <c r="F7" s="199">
        <f>351.316042187+E7</f>
        <v>1163.975072256</v>
      </c>
    </row>
    <row r="8" spans="2:7" ht="16">
      <c r="B8" s="198" t="s">
        <v>326</v>
      </c>
      <c r="C8" s="200">
        <v>1439.92</v>
      </c>
      <c r="D8" s="200">
        <f>(1599.19-202.277+221.737)*0+1957.36</f>
        <v>1957.36</v>
      </c>
      <c r="E8" s="200">
        <f>+D8+242.6-221.737</f>
        <v>1978.223</v>
      </c>
      <c r="F8" s="209">
        <f>2343286684479/1000000000</f>
        <v>2343.2866844790001</v>
      </c>
    </row>
    <row r="9" spans="2:7" ht="16">
      <c r="B9" s="198" t="s">
        <v>327</v>
      </c>
      <c r="C9" s="200"/>
      <c r="D9" s="200"/>
      <c r="E9" s="200"/>
      <c r="F9" s="200"/>
      <c r="G9" s="383"/>
    </row>
    <row r="10" spans="2:7" ht="16">
      <c r="B10" s="198" t="s">
        <v>328</v>
      </c>
      <c r="C10" s="200"/>
      <c r="D10" s="200"/>
      <c r="E10" s="200"/>
      <c r="F10" s="200"/>
      <c r="G10" s="383"/>
    </row>
    <row r="11" spans="2:7" ht="16">
      <c r="B11" s="198" t="s">
        <v>106</v>
      </c>
      <c r="C11" s="203">
        <f>341721496625/1000000000</f>
        <v>341.72149662499999</v>
      </c>
      <c r="D11" s="203">
        <f>623172085292/1000000000</f>
        <v>623.17208529200002</v>
      </c>
      <c r="E11" s="203">
        <f>+D11-41.47</f>
        <v>581.70208529199999</v>
      </c>
      <c r="F11" s="203">
        <v>581.70208529199999</v>
      </c>
      <c r="G11" s="383"/>
    </row>
    <row r="12" spans="2:7" ht="16">
      <c r="B12" s="197" t="s">
        <v>329</v>
      </c>
      <c r="C12" s="197">
        <v>0</v>
      </c>
      <c r="D12" s="197">
        <v>0</v>
      </c>
      <c r="E12" s="197">
        <v>0</v>
      </c>
      <c r="F12" s="197">
        <v>0</v>
      </c>
      <c r="G12" s="383"/>
    </row>
    <row r="13" spans="2:7" ht="16">
      <c r="B13" s="198" t="s">
        <v>330</v>
      </c>
      <c r="C13" s="200"/>
      <c r="D13" s="200"/>
      <c r="E13" s="200"/>
      <c r="F13" s="200"/>
      <c r="G13" s="383"/>
    </row>
    <row r="14" spans="2:7" ht="16">
      <c r="B14" s="198" t="s">
        <v>324</v>
      </c>
      <c r="C14" s="201"/>
      <c r="D14" s="201"/>
      <c r="E14" s="201"/>
      <c r="F14" s="201"/>
      <c r="G14" s="383"/>
    </row>
    <row r="15" spans="2:7" ht="16">
      <c r="B15" s="198" t="s">
        <v>331</v>
      </c>
      <c r="C15" s="200"/>
      <c r="D15" s="200"/>
      <c r="E15" s="200"/>
      <c r="F15" s="200"/>
    </row>
    <row r="16" spans="2:7" ht="16">
      <c r="B16" s="198" t="s">
        <v>326</v>
      </c>
      <c r="C16" s="200"/>
      <c r="D16" s="200"/>
      <c r="E16" s="200"/>
      <c r="F16" s="200"/>
    </row>
    <row r="17" spans="2:11" ht="16">
      <c r="B17" s="198" t="s">
        <v>327</v>
      </c>
      <c r="C17" s="200"/>
      <c r="D17" s="200"/>
      <c r="E17" s="200"/>
      <c r="F17" s="200"/>
    </row>
    <row r="18" spans="2:11" ht="16">
      <c r="B18" s="198" t="s">
        <v>328</v>
      </c>
      <c r="C18" s="200"/>
      <c r="D18" s="200"/>
      <c r="E18" s="200"/>
      <c r="F18" s="200"/>
      <c r="J18" s="464"/>
      <c r="K18" s="464"/>
    </row>
    <row r="19" spans="2:11" ht="16">
      <c r="B19" s="198" t="s">
        <v>332</v>
      </c>
      <c r="C19" s="200"/>
      <c r="D19" s="200"/>
      <c r="E19" s="200"/>
      <c r="F19" s="200"/>
      <c r="J19" s="389"/>
      <c r="K19" s="389"/>
    </row>
    <row r="20" spans="2:11" ht="16">
      <c r="B20" s="202" t="s">
        <v>333</v>
      </c>
      <c r="C20" s="385">
        <f>C21+C29</f>
        <v>9553.5753631010011</v>
      </c>
      <c r="D20" s="385">
        <f>D21+D29</f>
        <v>10371.89899397</v>
      </c>
      <c r="E20" s="385">
        <f>+E21+E29</f>
        <v>11726.52399397</v>
      </c>
      <c r="F20" s="385">
        <f>+F21+F29</f>
        <v>13810.86</v>
      </c>
      <c r="G20" s="465"/>
      <c r="I20" s="505"/>
    </row>
    <row r="21" spans="2:11" ht="16">
      <c r="B21" s="197" t="s">
        <v>334</v>
      </c>
      <c r="C21" s="386">
        <f>SUM(C22:C28)</f>
        <v>2128.5263631010002</v>
      </c>
      <c r="D21" s="386">
        <f>SUM(D22:D28)</f>
        <v>2011.2240439700001</v>
      </c>
      <c r="E21" s="386">
        <f>SUM(E22:E28)</f>
        <v>2806.7789939700001</v>
      </c>
      <c r="F21" s="386">
        <f>SUM(F22:F28)</f>
        <v>3642.3</v>
      </c>
      <c r="G21" s="465"/>
    </row>
    <row r="22" spans="2:11" ht="16">
      <c r="B22" s="198" t="s">
        <v>330</v>
      </c>
      <c r="C22" s="200"/>
      <c r="D22" s="200"/>
      <c r="E22" s="200"/>
      <c r="F22" s="200"/>
      <c r="J22" s="464"/>
    </row>
    <row r="23" spans="2:11" ht="16">
      <c r="B23" s="198" t="s">
        <v>324</v>
      </c>
      <c r="C23" s="200">
        <v>1637.14</v>
      </c>
      <c r="D23" s="203">
        <v>1280.3750500000001</v>
      </c>
      <c r="E23" s="203">
        <v>1865.83</v>
      </c>
      <c r="F23" s="203">
        <v>2392.15</v>
      </c>
      <c r="G23" s="387"/>
    </row>
    <row r="24" spans="2:11" ht="16">
      <c r="B24" s="198" t="s">
        <v>331</v>
      </c>
      <c r="C24" s="200">
        <f>73.6+307.27</f>
        <v>380.87</v>
      </c>
      <c r="D24" s="390">
        <f>620.4+35.5</f>
        <v>655.9</v>
      </c>
      <c r="E24" s="390">
        <v>866</v>
      </c>
      <c r="F24" s="390">
        <v>1250.1500000000001</v>
      </c>
    </row>
    <row r="25" spans="2:11" ht="16">
      <c r="B25" s="198" t="s">
        <v>326</v>
      </c>
      <c r="C25" s="200"/>
      <c r="D25" s="200"/>
      <c r="E25" s="200"/>
      <c r="F25" s="200"/>
      <c r="G25" s="388"/>
      <c r="J25" s="464"/>
    </row>
    <row r="26" spans="2:11" ht="16">
      <c r="B26" s="198" t="s">
        <v>327</v>
      </c>
      <c r="C26" s="200"/>
      <c r="D26" s="200"/>
      <c r="E26" s="200"/>
      <c r="F26" s="200"/>
    </row>
    <row r="27" spans="2:11" ht="16">
      <c r="B27" s="198" t="s">
        <v>328</v>
      </c>
      <c r="C27" s="200"/>
      <c r="D27" s="200"/>
      <c r="E27" s="200"/>
      <c r="F27" s="200"/>
      <c r="J27" s="464"/>
    </row>
    <row r="28" spans="2:11" ht="16">
      <c r="B28" s="198" t="s">
        <v>335</v>
      </c>
      <c r="C28" s="384">
        <f>307.27*0+97610741909/1000000000+12905621192/1000000000</f>
        <v>110.516363101</v>
      </c>
      <c r="D28" s="203">
        <f>62238618072/1000000000+12710375898/1000000000</f>
        <v>74.948993970000004</v>
      </c>
      <c r="E28" s="203">
        <f>+D28</f>
        <v>74.948993970000004</v>
      </c>
      <c r="F28" s="203"/>
    </row>
    <row r="29" spans="2:11" ht="16">
      <c r="B29" s="197" t="s">
        <v>329</v>
      </c>
      <c r="C29" s="382">
        <f>+C30+C32</f>
        <v>7425.049</v>
      </c>
      <c r="D29" s="382">
        <f>+D30+D32</f>
        <v>8360.6749500000005</v>
      </c>
      <c r="E29" s="382">
        <f>+E30+E32</f>
        <v>8919.7450000000008</v>
      </c>
      <c r="F29" s="382">
        <f>+F30+F32</f>
        <v>10168.560000000001</v>
      </c>
      <c r="G29" s="465"/>
    </row>
    <row r="30" spans="2:11" ht="16">
      <c r="B30" s="198" t="s">
        <v>324</v>
      </c>
      <c r="C30" s="203">
        <v>2828.8850000000002</v>
      </c>
      <c r="D30" s="203">
        <f>+'3.5 Dette publique (T)'!FP50+'3.5 Dette publique (T)'!FP51</f>
        <v>3148.3449500000002</v>
      </c>
      <c r="E30" s="203">
        <v>3538.5830000000001</v>
      </c>
      <c r="F30" s="203">
        <v>4425.3500000000004</v>
      </c>
    </row>
    <row r="31" spans="2:11" ht="16">
      <c r="B31" s="198" t="s">
        <v>336</v>
      </c>
      <c r="C31" s="200"/>
      <c r="D31" s="200"/>
      <c r="E31" s="200"/>
      <c r="F31" s="200"/>
    </row>
    <row r="32" spans="2:11" ht="16">
      <c r="B32" s="198" t="s">
        <v>331</v>
      </c>
      <c r="C32" s="203">
        <v>4596.1639999999998</v>
      </c>
      <c r="D32" s="203">
        <v>5212.33</v>
      </c>
      <c r="E32" s="203">
        <v>5381.1620000000003</v>
      </c>
      <c r="F32" s="203">
        <v>5743.21</v>
      </c>
    </row>
    <row r="33" spans="2:6" ht="16">
      <c r="B33" s="198" t="s">
        <v>326</v>
      </c>
      <c r="C33" s="200"/>
      <c r="D33" s="200"/>
      <c r="E33" s="200"/>
      <c r="F33" s="200"/>
    </row>
    <row r="34" spans="2:6" ht="16">
      <c r="B34" s="198" t="s">
        <v>327</v>
      </c>
      <c r="C34" s="200"/>
      <c r="D34" s="200"/>
      <c r="E34" s="200"/>
      <c r="F34" s="200"/>
    </row>
    <row r="35" spans="2:6" ht="16">
      <c r="B35" s="198" t="s">
        <v>328</v>
      </c>
      <c r="C35" s="200"/>
      <c r="D35" s="200"/>
      <c r="E35" s="200"/>
      <c r="F35" s="200"/>
    </row>
    <row r="36" spans="2:6" ht="17" thickBot="1">
      <c r="B36" s="204" t="s">
        <v>337</v>
      </c>
      <c r="C36" s="205"/>
      <c r="D36" s="200"/>
      <c r="E36" s="200"/>
      <c r="F36" s="200"/>
    </row>
    <row r="37" spans="2:6" ht="16">
      <c r="B37" s="206"/>
    </row>
    <row r="40" spans="2:6">
      <c r="D40" s="389"/>
      <c r="E40" s="389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U205"/>
  <sheetViews>
    <sheetView zoomScaleNormal="100" zoomScalePageLayoutView="114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176" sqref="F176"/>
    </sheetView>
  </sheetViews>
  <sheetFormatPr baseColWidth="10" defaultColWidth="11.5" defaultRowHeight="15"/>
  <cols>
    <col min="1" max="1" width="7.6640625" style="219" bestFit="1" customWidth="1"/>
    <col min="2" max="2" width="58.1640625" style="219" customWidth="1"/>
    <col min="3" max="3" width="24" style="219" customWidth="1"/>
    <col min="4" max="5" width="22.83203125" style="219" customWidth="1"/>
    <col min="6" max="6" width="24" style="219" customWidth="1"/>
    <col min="7" max="7" width="30.5" style="219" customWidth="1"/>
    <col min="8" max="9" width="24" style="219" customWidth="1"/>
    <col min="10" max="10" width="19.1640625" style="219" customWidth="1"/>
    <col min="11" max="11" width="19.33203125" style="219" customWidth="1"/>
    <col min="12" max="12" width="25.33203125" style="219" customWidth="1"/>
    <col min="13" max="13" width="23.33203125" style="219" customWidth="1"/>
    <col min="14" max="14" width="30.83203125" style="219" customWidth="1"/>
    <col min="15" max="15" width="21.5" style="219" customWidth="1"/>
    <col min="16" max="18" width="23.6640625" style="219" customWidth="1"/>
    <col min="19" max="19" width="24.83203125" style="219" customWidth="1"/>
    <col min="20" max="20" width="20.5" style="220" customWidth="1"/>
    <col min="21" max="21" width="22.1640625" style="219" customWidth="1"/>
    <col min="22" max="16384" width="11.5" style="219"/>
  </cols>
  <sheetData>
    <row r="1" spans="1:21" ht="16">
      <c r="A1" s="210" t="s">
        <v>338</v>
      </c>
      <c r="B1" s="210" t="s">
        <v>339</v>
      </c>
      <c r="C1" s="211" t="s">
        <v>340</v>
      </c>
      <c r="D1" s="211" t="s">
        <v>341</v>
      </c>
      <c r="E1" s="212" t="s">
        <v>342</v>
      </c>
      <c r="F1" s="211" t="s">
        <v>343</v>
      </c>
      <c r="G1" s="211" t="s">
        <v>344</v>
      </c>
      <c r="H1" s="213" t="s">
        <v>345</v>
      </c>
      <c r="I1" s="211" t="s">
        <v>346</v>
      </c>
      <c r="J1" s="214" t="s">
        <v>347</v>
      </c>
      <c r="K1" s="215" t="s">
        <v>348</v>
      </c>
      <c r="L1" s="214" t="s">
        <v>349</v>
      </c>
      <c r="M1" s="214" t="s">
        <v>350</v>
      </c>
      <c r="N1" s="214" t="s">
        <v>351</v>
      </c>
      <c r="O1" s="214" t="s">
        <v>352</v>
      </c>
      <c r="P1" s="216" t="s">
        <v>353</v>
      </c>
      <c r="Q1" s="217" t="s">
        <v>354</v>
      </c>
      <c r="R1" s="218" t="s">
        <v>355</v>
      </c>
      <c r="S1" s="219" t="s">
        <v>356</v>
      </c>
      <c r="T1" s="220" t="s">
        <v>357</v>
      </c>
      <c r="U1" s="219" t="s">
        <v>358</v>
      </c>
    </row>
    <row r="2" spans="1:21" ht="16">
      <c r="A2" s="221">
        <v>1</v>
      </c>
      <c r="B2" s="221" t="s">
        <v>359</v>
      </c>
      <c r="C2" s="222">
        <v>2788828204233.2358</v>
      </c>
      <c r="D2" s="222">
        <f>+D46</f>
        <v>435736466703</v>
      </c>
      <c r="E2" s="223">
        <v>-435736466703</v>
      </c>
      <c r="F2" s="222">
        <f>+C2+D2+E2</f>
        <v>2788828204233.2358</v>
      </c>
      <c r="G2" s="222"/>
      <c r="H2" s="224">
        <v>718892206640.01001</v>
      </c>
      <c r="I2" s="222">
        <v>163937362807</v>
      </c>
      <c r="K2" s="225">
        <f>+I2</f>
        <v>163937362807</v>
      </c>
      <c r="L2" s="226">
        <f>+L3+L36+L46+L56</f>
        <v>2869697003327.2358</v>
      </c>
      <c r="M2" s="227">
        <f>+M3</f>
        <v>34893886130</v>
      </c>
      <c r="N2" s="225">
        <f>+L2+M2</f>
        <v>2904590889457.2358</v>
      </c>
      <c r="O2" s="228">
        <f>+O53</f>
        <v>-511760255726.27002</v>
      </c>
      <c r="P2" s="229">
        <f>+H2+N2+O2</f>
        <v>3111722840370.9761</v>
      </c>
      <c r="Q2" s="230">
        <v>144735373329</v>
      </c>
      <c r="R2" s="231">
        <v>32333120187</v>
      </c>
      <c r="S2" s="229">
        <f>+Q2+R2</f>
        <v>177068493516</v>
      </c>
      <c r="T2" s="220">
        <f>T46+T56</f>
        <v>-135481432920</v>
      </c>
      <c r="U2" s="226">
        <f>+K2+P2+S2+T2</f>
        <v>3317247263773.9761</v>
      </c>
    </row>
    <row r="3" spans="1:21" ht="16">
      <c r="A3" s="232">
        <v>11</v>
      </c>
      <c r="B3" s="232" t="s">
        <v>360</v>
      </c>
      <c r="C3" s="222">
        <v>2410010870183.5</v>
      </c>
      <c r="D3" s="222"/>
      <c r="E3" s="223"/>
      <c r="F3" s="222">
        <f>+C3+D3+E3</f>
        <v>2410010870183.5</v>
      </c>
      <c r="G3" s="222"/>
      <c r="H3" s="224">
        <v>0</v>
      </c>
      <c r="I3" s="222">
        <v>80868799094</v>
      </c>
      <c r="J3" s="227">
        <f>-I3</f>
        <v>-80868799094</v>
      </c>
      <c r="K3" s="225">
        <f>+I3+J3</f>
        <v>0</v>
      </c>
      <c r="L3" s="227">
        <f>+F3-J3</f>
        <v>2490879669277.5</v>
      </c>
      <c r="M3" s="227">
        <f>+M8+M15</f>
        <v>34893886130</v>
      </c>
      <c r="N3" s="225">
        <f t="shared" ref="N3:N66" si="0">+L3+M3</f>
        <v>2525773555407.5</v>
      </c>
      <c r="P3" s="229">
        <f t="shared" ref="P3:P66" si="1">+H3+N3+O3</f>
        <v>2525773555407.5</v>
      </c>
      <c r="Q3" s="230">
        <v>0</v>
      </c>
      <c r="R3" s="231">
        <v>0</v>
      </c>
      <c r="S3" s="229">
        <f t="shared" ref="S3:S66" si="2">+Q3+R3</f>
        <v>0</v>
      </c>
      <c r="U3" s="226">
        <f t="shared" ref="U3:U66" si="3">+K3+P3+S3+T3</f>
        <v>2525773555407.5</v>
      </c>
    </row>
    <row r="4" spans="1:21" ht="16">
      <c r="A4" s="233">
        <v>111</v>
      </c>
      <c r="B4" s="233" t="s">
        <v>361</v>
      </c>
      <c r="C4" s="222">
        <v>710593227176</v>
      </c>
      <c r="D4" s="222"/>
      <c r="E4" s="223"/>
      <c r="F4" s="222">
        <f t="shared" ref="F4:F67" si="4">+C4+D4+E4</f>
        <v>710593227176</v>
      </c>
      <c r="G4" s="222"/>
      <c r="H4" s="224">
        <v>0</v>
      </c>
      <c r="I4" s="222">
        <v>8440690561</v>
      </c>
      <c r="J4" s="227">
        <f t="shared" ref="J4:J25" si="5">-I4</f>
        <v>-8440690561</v>
      </c>
      <c r="K4" s="225">
        <f t="shared" ref="K4:K67" si="6">+I4+J4</f>
        <v>0</v>
      </c>
      <c r="L4" s="227">
        <f t="shared" ref="L4:L45" si="7">+F4-J4</f>
        <v>719033917737</v>
      </c>
      <c r="N4" s="225">
        <f t="shared" si="0"/>
        <v>719033917737</v>
      </c>
      <c r="P4" s="229">
        <f t="shared" si="1"/>
        <v>719033917737</v>
      </c>
      <c r="Q4" s="230">
        <v>0</v>
      </c>
      <c r="R4" s="231">
        <v>0</v>
      </c>
      <c r="S4" s="229">
        <f t="shared" si="2"/>
        <v>0</v>
      </c>
      <c r="U4" s="226">
        <f t="shared" si="3"/>
        <v>719033917737</v>
      </c>
    </row>
    <row r="5" spans="1:21" ht="16">
      <c r="A5" s="234">
        <v>1111</v>
      </c>
      <c r="B5" s="234" t="s">
        <v>362</v>
      </c>
      <c r="C5" s="235">
        <v>352187358093</v>
      </c>
      <c r="D5" s="235"/>
      <c r="E5" s="236"/>
      <c r="F5" s="235">
        <f t="shared" si="4"/>
        <v>352187358093</v>
      </c>
      <c r="G5" s="235"/>
      <c r="H5" s="237">
        <v>0</v>
      </c>
      <c r="I5" s="222">
        <v>8440690561</v>
      </c>
      <c r="J5" s="227">
        <f t="shared" si="5"/>
        <v>-8440690561</v>
      </c>
      <c r="K5" s="225">
        <f t="shared" si="6"/>
        <v>0</v>
      </c>
      <c r="L5" s="227">
        <f t="shared" si="7"/>
        <v>360628048654</v>
      </c>
      <c r="N5" s="225">
        <f t="shared" si="0"/>
        <v>360628048654</v>
      </c>
      <c r="P5" s="229">
        <f t="shared" si="1"/>
        <v>360628048654</v>
      </c>
      <c r="Q5" s="230">
        <v>0</v>
      </c>
      <c r="R5" s="231">
        <v>0</v>
      </c>
      <c r="S5" s="229">
        <f t="shared" si="2"/>
        <v>0</v>
      </c>
      <c r="U5" s="226">
        <f t="shared" si="3"/>
        <v>360628048654</v>
      </c>
    </row>
    <row r="6" spans="1:21" ht="16">
      <c r="A6" s="234">
        <v>1112</v>
      </c>
      <c r="B6" s="234" t="s">
        <v>363</v>
      </c>
      <c r="C6" s="235">
        <v>349961675099</v>
      </c>
      <c r="D6" s="235"/>
      <c r="E6" s="236"/>
      <c r="F6" s="235">
        <f t="shared" si="4"/>
        <v>349961675099</v>
      </c>
      <c r="G6" s="235"/>
      <c r="H6" s="237">
        <v>0</v>
      </c>
      <c r="I6" s="222">
        <v>0</v>
      </c>
      <c r="J6" s="227">
        <f t="shared" si="5"/>
        <v>0</v>
      </c>
      <c r="K6" s="225">
        <f t="shared" si="6"/>
        <v>0</v>
      </c>
      <c r="L6" s="227">
        <f t="shared" si="7"/>
        <v>349961675099</v>
      </c>
      <c r="N6" s="225">
        <f t="shared" si="0"/>
        <v>349961675099</v>
      </c>
      <c r="P6" s="229">
        <f t="shared" si="1"/>
        <v>349961675099</v>
      </c>
      <c r="Q6" s="230">
        <v>0</v>
      </c>
      <c r="R6" s="231">
        <v>0</v>
      </c>
      <c r="S6" s="229">
        <f t="shared" si="2"/>
        <v>0</v>
      </c>
      <c r="U6" s="226">
        <f t="shared" si="3"/>
        <v>349961675099</v>
      </c>
    </row>
    <row r="7" spans="1:21" ht="16">
      <c r="A7" s="234">
        <v>1113</v>
      </c>
      <c r="B7" s="234" t="s">
        <v>364</v>
      </c>
      <c r="C7" s="235">
        <v>8444193984</v>
      </c>
      <c r="D7" s="235"/>
      <c r="E7" s="236"/>
      <c r="F7" s="235">
        <f t="shared" si="4"/>
        <v>8444193984</v>
      </c>
      <c r="G7" s="235"/>
      <c r="H7" s="237">
        <v>0</v>
      </c>
      <c r="I7" s="222">
        <v>0</v>
      </c>
      <c r="J7" s="227">
        <f t="shared" si="5"/>
        <v>0</v>
      </c>
      <c r="K7" s="225">
        <f t="shared" si="6"/>
        <v>0</v>
      </c>
      <c r="L7" s="227">
        <f t="shared" si="7"/>
        <v>8444193984</v>
      </c>
      <c r="N7" s="225">
        <f t="shared" si="0"/>
        <v>8444193984</v>
      </c>
      <c r="P7" s="229">
        <f t="shared" si="1"/>
        <v>8444193984</v>
      </c>
      <c r="Q7" s="230">
        <v>0</v>
      </c>
      <c r="R7" s="231">
        <v>0</v>
      </c>
      <c r="S7" s="229">
        <f t="shared" si="2"/>
        <v>0</v>
      </c>
      <c r="U7" s="226">
        <f t="shared" si="3"/>
        <v>8444193984</v>
      </c>
    </row>
    <row r="8" spans="1:21" ht="16">
      <c r="A8" s="233">
        <v>112</v>
      </c>
      <c r="B8" s="233" t="s">
        <v>365</v>
      </c>
      <c r="C8" s="222">
        <v>8951757492.5</v>
      </c>
      <c r="D8" s="222"/>
      <c r="E8" s="223"/>
      <c r="F8" s="222">
        <f t="shared" si="4"/>
        <v>8951757492.5</v>
      </c>
      <c r="G8" s="222"/>
      <c r="H8" s="224">
        <v>0</v>
      </c>
      <c r="I8" s="222">
        <v>0</v>
      </c>
      <c r="J8" s="227">
        <f t="shared" si="5"/>
        <v>0</v>
      </c>
      <c r="K8" s="225">
        <f t="shared" si="6"/>
        <v>0</v>
      </c>
      <c r="L8" s="227">
        <f t="shared" si="7"/>
        <v>8951757492.5</v>
      </c>
      <c r="M8" s="227">
        <v>33377739521</v>
      </c>
      <c r="N8" s="225">
        <f t="shared" si="0"/>
        <v>42329497013.5</v>
      </c>
      <c r="P8" s="229">
        <f t="shared" si="1"/>
        <v>42329497013.5</v>
      </c>
      <c r="Q8" s="230">
        <v>0</v>
      </c>
      <c r="R8" s="231">
        <v>0</v>
      </c>
      <c r="S8" s="229">
        <f t="shared" si="2"/>
        <v>0</v>
      </c>
      <c r="U8" s="226">
        <f t="shared" si="3"/>
        <v>42329497013.5</v>
      </c>
    </row>
    <row r="9" spans="1:21" ht="16">
      <c r="A9" s="233">
        <v>113</v>
      </c>
      <c r="B9" s="233" t="s">
        <v>366</v>
      </c>
      <c r="C9" s="222">
        <v>40043025243</v>
      </c>
      <c r="D9" s="222"/>
      <c r="E9" s="223"/>
      <c r="F9" s="222">
        <f t="shared" si="4"/>
        <v>40043025243</v>
      </c>
      <c r="G9" s="222"/>
      <c r="H9" s="224">
        <v>0</v>
      </c>
      <c r="I9" s="222">
        <v>52239518</v>
      </c>
      <c r="J9" s="227">
        <f t="shared" si="5"/>
        <v>-52239518</v>
      </c>
      <c r="K9" s="225">
        <f t="shared" si="6"/>
        <v>0</v>
      </c>
      <c r="L9" s="227">
        <f t="shared" si="7"/>
        <v>40095264761</v>
      </c>
      <c r="N9" s="225">
        <f t="shared" si="0"/>
        <v>40095264761</v>
      </c>
      <c r="P9" s="229">
        <f t="shared" si="1"/>
        <v>40095264761</v>
      </c>
      <c r="Q9" s="230">
        <v>0</v>
      </c>
      <c r="R9" s="231">
        <v>0</v>
      </c>
      <c r="S9" s="229">
        <f t="shared" si="2"/>
        <v>0</v>
      </c>
      <c r="U9" s="226">
        <f t="shared" si="3"/>
        <v>40095264761</v>
      </c>
    </row>
    <row r="10" spans="1:21" ht="16">
      <c r="A10" s="234">
        <v>1131</v>
      </c>
      <c r="B10" s="234" t="s">
        <v>367</v>
      </c>
      <c r="C10" s="235">
        <v>0</v>
      </c>
      <c r="D10" s="235"/>
      <c r="E10" s="236"/>
      <c r="F10" s="235">
        <f t="shared" si="4"/>
        <v>0</v>
      </c>
      <c r="G10" s="235"/>
      <c r="H10" s="237">
        <v>0</v>
      </c>
      <c r="I10" s="222">
        <v>52239518</v>
      </c>
      <c r="J10" s="227">
        <f t="shared" si="5"/>
        <v>-52239518</v>
      </c>
      <c r="K10" s="225">
        <f t="shared" si="6"/>
        <v>0</v>
      </c>
      <c r="L10" s="227">
        <f t="shared" si="7"/>
        <v>52239518</v>
      </c>
      <c r="N10" s="225">
        <f t="shared" si="0"/>
        <v>52239518</v>
      </c>
      <c r="P10" s="229">
        <f t="shared" si="1"/>
        <v>52239518</v>
      </c>
      <c r="Q10" s="230">
        <v>0</v>
      </c>
      <c r="R10" s="231">
        <v>0</v>
      </c>
      <c r="S10" s="229">
        <f t="shared" si="2"/>
        <v>0</v>
      </c>
      <c r="U10" s="226">
        <f t="shared" si="3"/>
        <v>52239518</v>
      </c>
    </row>
    <row r="11" spans="1:21" ht="16">
      <c r="A11" s="234">
        <v>1132</v>
      </c>
      <c r="B11" s="234" t="s">
        <v>368</v>
      </c>
      <c r="C11" s="235">
        <v>0</v>
      </c>
      <c r="D11" s="235"/>
      <c r="E11" s="236"/>
      <c r="F11" s="235">
        <f t="shared" si="4"/>
        <v>0</v>
      </c>
      <c r="G11" s="235"/>
      <c r="H11" s="237">
        <v>0</v>
      </c>
      <c r="I11" s="222">
        <v>0</v>
      </c>
      <c r="J11" s="227">
        <f t="shared" si="5"/>
        <v>0</v>
      </c>
      <c r="K11" s="225">
        <f t="shared" si="6"/>
        <v>0</v>
      </c>
      <c r="L11" s="227">
        <f t="shared" si="7"/>
        <v>0</v>
      </c>
      <c r="N11" s="225">
        <f t="shared" si="0"/>
        <v>0</v>
      </c>
      <c r="P11" s="229">
        <f t="shared" si="1"/>
        <v>0</v>
      </c>
      <c r="Q11" s="230">
        <v>0</v>
      </c>
      <c r="R11" s="231">
        <v>0</v>
      </c>
      <c r="S11" s="229">
        <f t="shared" si="2"/>
        <v>0</v>
      </c>
      <c r="U11" s="226">
        <f t="shared" si="3"/>
        <v>0</v>
      </c>
    </row>
    <row r="12" spans="1:21" ht="16">
      <c r="A12" s="234">
        <v>1133</v>
      </c>
      <c r="B12" s="234" t="s">
        <v>369</v>
      </c>
      <c r="C12" s="235">
        <v>3875731130</v>
      </c>
      <c r="D12" s="235"/>
      <c r="E12" s="236"/>
      <c r="F12" s="235">
        <f t="shared" si="4"/>
        <v>3875731130</v>
      </c>
      <c r="G12" s="235"/>
      <c r="H12" s="237">
        <v>0</v>
      </c>
      <c r="I12" s="222">
        <v>0</v>
      </c>
      <c r="J12" s="227">
        <f t="shared" si="5"/>
        <v>0</v>
      </c>
      <c r="K12" s="225">
        <f t="shared" si="6"/>
        <v>0</v>
      </c>
      <c r="L12" s="227">
        <f t="shared" si="7"/>
        <v>3875731130</v>
      </c>
      <c r="N12" s="225">
        <f t="shared" si="0"/>
        <v>3875731130</v>
      </c>
      <c r="P12" s="229">
        <f t="shared" si="1"/>
        <v>3875731130</v>
      </c>
      <c r="Q12" s="230">
        <v>0</v>
      </c>
      <c r="R12" s="231">
        <v>0</v>
      </c>
      <c r="S12" s="229">
        <f t="shared" si="2"/>
        <v>0</v>
      </c>
      <c r="U12" s="226">
        <f t="shared" si="3"/>
        <v>3875731130</v>
      </c>
    </row>
    <row r="13" spans="1:21" ht="16">
      <c r="A13" s="234">
        <v>1135</v>
      </c>
      <c r="B13" s="234" t="s">
        <v>370</v>
      </c>
      <c r="C13" s="235">
        <v>0</v>
      </c>
      <c r="D13" s="235"/>
      <c r="E13" s="236"/>
      <c r="F13" s="235">
        <f t="shared" si="4"/>
        <v>0</v>
      </c>
      <c r="G13" s="235"/>
      <c r="H13" s="237">
        <v>0</v>
      </c>
      <c r="I13" s="222">
        <v>0</v>
      </c>
      <c r="J13" s="227">
        <f t="shared" si="5"/>
        <v>0</v>
      </c>
      <c r="K13" s="225">
        <f t="shared" si="6"/>
        <v>0</v>
      </c>
      <c r="L13" s="227">
        <f t="shared" si="7"/>
        <v>0</v>
      </c>
      <c r="N13" s="225">
        <f t="shared" si="0"/>
        <v>0</v>
      </c>
      <c r="P13" s="229">
        <f t="shared" si="1"/>
        <v>0</v>
      </c>
      <c r="Q13" s="230">
        <v>0</v>
      </c>
      <c r="R13" s="231">
        <v>0</v>
      </c>
      <c r="S13" s="229">
        <f t="shared" si="2"/>
        <v>0</v>
      </c>
      <c r="U13" s="226">
        <f t="shared" si="3"/>
        <v>0</v>
      </c>
    </row>
    <row r="14" spans="1:21" ht="16">
      <c r="A14" s="234">
        <v>1136</v>
      </c>
      <c r="B14" s="234" t="s">
        <v>371</v>
      </c>
      <c r="C14" s="235">
        <v>0</v>
      </c>
      <c r="D14" s="235"/>
      <c r="E14" s="236"/>
      <c r="F14" s="235">
        <f t="shared" si="4"/>
        <v>0</v>
      </c>
      <c r="G14" s="235"/>
      <c r="H14" s="237">
        <v>0</v>
      </c>
      <c r="I14" s="222">
        <v>0</v>
      </c>
      <c r="J14" s="227">
        <f t="shared" si="5"/>
        <v>0</v>
      </c>
      <c r="K14" s="225">
        <f t="shared" si="6"/>
        <v>0</v>
      </c>
      <c r="L14" s="227">
        <f t="shared" si="7"/>
        <v>0</v>
      </c>
      <c r="N14" s="225">
        <f t="shared" si="0"/>
        <v>0</v>
      </c>
      <c r="P14" s="229">
        <f t="shared" si="1"/>
        <v>0</v>
      </c>
      <c r="Q14" s="230">
        <v>0</v>
      </c>
      <c r="R14" s="231">
        <v>0</v>
      </c>
      <c r="S14" s="229">
        <f t="shared" si="2"/>
        <v>0</v>
      </c>
      <c r="U14" s="226">
        <f t="shared" si="3"/>
        <v>0</v>
      </c>
    </row>
    <row r="15" spans="1:21" ht="16">
      <c r="A15" s="233">
        <v>114</v>
      </c>
      <c r="B15" s="233" t="s">
        <v>372</v>
      </c>
      <c r="C15" s="235">
        <v>1247181155939</v>
      </c>
      <c r="D15" s="235"/>
      <c r="E15" s="236"/>
      <c r="F15" s="235">
        <f t="shared" si="4"/>
        <v>1247181155939</v>
      </c>
      <c r="G15" s="235"/>
      <c r="H15" s="237">
        <v>0</v>
      </c>
      <c r="I15" s="222">
        <v>72375869015</v>
      </c>
      <c r="J15" s="227">
        <f t="shared" si="5"/>
        <v>-72375869015</v>
      </c>
      <c r="K15" s="225">
        <f t="shared" si="6"/>
        <v>0</v>
      </c>
      <c r="L15" s="227">
        <f t="shared" si="7"/>
        <v>1319557024954</v>
      </c>
      <c r="M15" s="227">
        <f>+M19</f>
        <v>1516146609</v>
      </c>
      <c r="N15" s="225">
        <f t="shared" si="0"/>
        <v>1321073171563</v>
      </c>
      <c r="P15" s="229">
        <f t="shared" si="1"/>
        <v>1321073171563</v>
      </c>
      <c r="Q15" s="230">
        <v>0</v>
      </c>
      <c r="R15" s="231">
        <v>0</v>
      </c>
      <c r="S15" s="229">
        <f t="shared" si="2"/>
        <v>0</v>
      </c>
      <c r="U15" s="226">
        <f t="shared" si="3"/>
        <v>1321073171563</v>
      </c>
    </row>
    <row r="16" spans="1:21" ht="16">
      <c r="A16" s="234">
        <v>1141</v>
      </c>
      <c r="B16" s="234" t="s">
        <v>373</v>
      </c>
      <c r="C16" s="238">
        <v>918177361568</v>
      </c>
      <c r="D16" s="238"/>
      <c r="E16" s="239"/>
      <c r="F16" s="238">
        <f t="shared" si="4"/>
        <v>918177361568</v>
      </c>
      <c r="G16" s="238"/>
      <c r="H16" s="240">
        <v>0</v>
      </c>
      <c r="I16" s="222">
        <v>0</v>
      </c>
      <c r="J16" s="227">
        <f t="shared" si="5"/>
        <v>0</v>
      </c>
      <c r="K16" s="225">
        <f t="shared" si="6"/>
        <v>0</v>
      </c>
      <c r="L16" s="227">
        <f t="shared" si="7"/>
        <v>918177361568</v>
      </c>
      <c r="N16" s="225">
        <f t="shared" si="0"/>
        <v>918177361568</v>
      </c>
      <c r="P16" s="229">
        <f t="shared" si="1"/>
        <v>918177361568</v>
      </c>
      <c r="Q16" s="230">
        <v>0</v>
      </c>
      <c r="R16" s="231">
        <v>0</v>
      </c>
      <c r="S16" s="229">
        <f t="shared" si="2"/>
        <v>0</v>
      </c>
      <c r="U16" s="226">
        <f t="shared" si="3"/>
        <v>918177361568</v>
      </c>
    </row>
    <row r="17" spans="1:21" ht="16">
      <c r="A17" s="234">
        <v>11411</v>
      </c>
      <c r="B17" s="234" t="s">
        <v>374</v>
      </c>
      <c r="C17" s="241">
        <v>883270003555</v>
      </c>
      <c r="D17" s="241"/>
      <c r="E17" s="242"/>
      <c r="F17" s="241">
        <f t="shared" si="4"/>
        <v>883270003555</v>
      </c>
      <c r="G17" s="241"/>
      <c r="H17" s="243">
        <v>0</v>
      </c>
      <c r="I17" s="222">
        <v>0</v>
      </c>
      <c r="J17" s="227">
        <f t="shared" si="5"/>
        <v>0</v>
      </c>
      <c r="K17" s="225">
        <f t="shared" si="6"/>
        <v>0</v>
      </c>
      <c r="L17" s="227">
        <f t="shared" si="7"/>
        <v>883270003555</v>
      </c>
      <c r="N17" s="225">
        <f t="shared" si="0"/>
        <v>883270003555</v>
      </c>
      <c r="P17" s="229">
        <f t="shared" si="1"/>
        <v>883270003555</v>
      </c>
      <c r="Q17" s="230">
        <v>0</v>
      </c>
      <c r="R17" s="231">
        <v>0</v>
      </c>
      <c r="S17" s="229">
        <f t="shared" si="2"/>
        <v>0</v>
      </c>
      <c r="U17" s="226">
        <f t="shared" si="3"/>
        <v>883270003555</v>
      </c>
    </row>
    <row r="18" spans="1:21" ht="16">
      <c r="A18" s="234">
        <v>11412</v>
      </c>
      <c r="B18" s="234" t="s">
        <v>375</v>
      </c>
      <c r="C18" s="235">
        <v>0</v>
      </c>
      <c r="D18" s="235"/>
      <c r="E18" s="236"/>
      <c r="F18" s="235">
        <f t="shared" si="4"/>
        <v>0</v>
      </c>
      <c r="G18" s="235"/>
      <c r="H18" s="237">
        <v>0</v>
      </c>
      <c r="I18" s="222">
        <v>0</v>
      </c>
      <c r="J18" s="227">
        <f t="shared" si="5"/>
        <v>0</v>
      </c>
      <c r="K18" s="225">
        <f t="shared" si="6"/>
        <v>0</v>
      </c>
      <c r="L18" s="227">
        <f t="shared" si="7"/>
        <v>0</v>
      </c>
      <c r="N18" s="225">
        <f t="shared" si="0"/>
        <v>0</v>
      </c>
      <c r="P18" s="229">
        <f t="shared" si="1"/>
        <v>0</v>
      </c>
      <c r="Q18" s="230">
        <v>0</v>
      </c>
      <c r="R18" s="231">
        <v>0</v>
      </c>
      <c r="S18" s="229">
        <f t="shared" si="2"/>
        <v>0</v>
      </c>
      <c r="U18" s="226">
        <f t="shared" si="3"/>
        <v>0</v>
      </c>
    </row>
    <row r="19" spans="1:21" ht="16">
      <c r="A19" s="234">
        <v>11413</v>
      </c>
      <c r="B19" s="234" t="s">
        <v>376</v>
      </c>
      <c r="C19" s="235">
        <v>34907358013</v>
      </c>
      <c r="D19" s="235"/>
      <c r="E19" s="236"/>
      <c r="F19" s="235">
        <f t="shared" si="4"/>
        <v>34907358013</v>
      </c>
      <c r="G19" s="235"/>
      <c r="H19" s="237">
        <v>0</v>
      </c>
      <c r="I19" s="222">
        <v>0</v>
      </c>
      <c r="J19" s="227">
        <f t="shared" si="5"/>
        <v>0</v>
      </c>
      <c r="K19" s="225">
        <f t="shared" si="6"/>
        <v>0</v>
      </c>
      <c r="L19" s="227">
        <f t="shared" si="7"/>
        <v>34907358013</v>
      </c>
      <c r="M19" s="227">
        <v>1516146609</v>
      </c>
      <c r="N19" s="225">
        <f t="shared" si="0"/>
        <v>36423504622</v>
      </c>
      <c r="P19" s="229">
        <f t="shared" si="1"/>
        <v>36423504622</v>
      </c>
      <c r="Q19" s="230">
        <v>0</v>
      </c>
      <c r="R19" s="231">
        <v>0</v>
      </c>
      <c r="S19" s="229">
        <f t="shared" si="2"/>
        <v>0</v>
      </c>
      <c r="U19" s="226">
        <f t="shared" si="3"/>
        <v>36423504622</v>
      </c>
    </row>
    <row r="20" spans="1:21" ht="16">
      <c r="A20" s="234">
        <v>11414</v>
      </c>
      <c r="B20" s="234" t="s">
        <v>377</v>
      </c>
      <c r="C20" s="235"/>
      <c r="D20" s="235"/>
      <c r="E20" s="236"/>
      <c r="F20" s="235">
        <f t="shared" si="4"/>
        <v>0</v>
      </c>
      <c r="G20" s="235"/>
      <c r="H20" s="237">
        <v>0</v>
      </c>
      <c r="I20" s="222"/>
      <c r="J20" s="227">
        <f t="shared" si="5"/>
        <v>0</v>
      </c>
      <c r="K20" s="225">
        <f t="shared" si="6"/>
        <v>0</v>
      </c>
      <c r="L20" s="227">
        <f t="shared" si="7"/>
        <v>0</v>
      </c>
      <c r="N20" s="225">
        <f t="shared" si="0"/>
        <v>0</v>
      </c>
      <c r="P20" s="229">
        <f t="shared" si="1"/>
        <v>0</v>
      </c>
      <c r="Q20" s="230">
        <v>0</v>
      </c>
      <c r="R20" s="231">
        <v>0</v>
      </c>
      <c r="S20" s="229">
        <f t="shared" si="2"/>
        <v>0</v>
      </c>
      <c r="U20" s="226">
        <f t="shared" si="3"/>
        <v>0</v>
      </c>
    </row>
    <row r="21" spans="1:21" ht="16">
      <c r="A21" s="234">
        <v>1142</v>
      </c>
      <c r="B21" s="234" t="s">
        <v>378</v>
      </c>
      <c r="C21" s="235">
        <v>177413948312</v>
      </c>
      <c r="D21" s="235"/>
      <c r="E21" s="236"/>
      <c r="F21" s="235">
        <f t="shared" si="4"/>
        <v>177413948312</v>
      </c>
      <c r="G21" s="235"/>
      <c r="H21" s="237">
        <v>0</v>
      </c>
      <c r="I21" s="222">
        <v>8576540314</v>
      </c>
      <c r="J21" s="227">
        <f t="shared" si="5"/>
        <v>-8576540314</v>
      </c>
      <c r="K21" s="225">
        <f t="shared" si="6"/>
        <v>0</v>
      </c>
      <c r="L21" s="227">
        <f t="shared" si="7"/>
        <v>185990488626</v>
      </c>
      <c r="N21" s="225">
        <f t="shared" si="0"/>
        <v>185990488626</v>
      </c>
      <c r="P21" s="229">
        <f t="shared" si="1"/>
        <v>185990488626</v>
      </c>
      <c r="Q21" s="230">
        <v>0</v>
      </c>
      <c r="R21" s="231">
        <v>0</v>
      </c>
      <c r="S21" s="229">
        <f t="shared" si="2"/>
        <v>0</v>
      </c>
      <c r="U21" s="226">
        <f t="shared" si="3"/>
        <v>185990488626</v>
      </c>
    </row>
    <row r="22" spans="1:21" ht="16">
      <c r="A22" s="234">
        <v>1143</v>
      </c>
      <c r="B22" s="234" t="s">
        <v>379</v>
      </c>
      <c r="C22" s="235">
        <v>0</v>
      </c>
      <c r="D22" s="235"/>
      <c r="E22" s="236"/>
      <c r="F22" s="235">
        <f t="shared" si="4"/>
        <v>0</v>
      </c>
      <c r="G22" s="235"/>
      <c r="H22" s="237">
        <v>0</v>
      </c>
      <c r="I22" s="222">
        <v>0</v>
      </c>
      <c r="J22" s="227">
        <f t="shared" si="5"/>
        <v>0</v>
      </c>
      <c r="K22" s="225">
        <f t="shared" si="6"/>
        <v>0</v>
      </c>
      <c r="L22" s="227">
        <f t="shared" si="7"/>
        <v>0</v>
      </c>
      <c r="N22" s="225">
        <f t="shared" si="0"/>
        <v>0</v>
      </c>
      <c r="P22" s="229">
        <f t="shared" si="1"/>
        <v>0</v>
      </c>
      <c r="Q22" s="230">
        <v>0</v>
      </c>
      <c r="R22" s="231">
        <v>0</v>
      </c>
      <c r="S22" s="229">
        <f t="shared" si="2"/>
        <v>0</v>
      </c>
      <c r="U22" s="226">
        <f t="shared" si="3"/>
        <v>0</v>
      </c>
    </row>
    <row r="23" spans="1:21" ht="16">
      <c r="A23" s="234">
        <v>1144</v>
      </c>
      <c r="B23" s="234" t="s">
        <v>380</v>
      </c>
      <c r="C23" s="235">
        <v>72318222724</v>
      </c>
      <c r="D23" s="235"/>
      <c r="E23" s="236"/>
      <c r="F23" s="235">
        <f t="shared" si="4"/>
        <v>72318222724</v>
      </c>
      <c r="G23" s="235"/>
      <c r="H23" s="237">
        <v>0</v>
      </c>
      <c r="I23" s="222">
        <v>0</v>
      </c>
      <c r="J23" s="227">
        <f t="shared" si="5"/>
        <v>0</v>
      </c>
      <c r="K23" s="225">
        <f t="shared" si="6"/>
        <v>0</v>
      </c>
      <c r="L23" s="227">
        <f t="shared" si="7"/>
        <v>72318222724</v>
      </c>
      <c r="N23" s="225">
        <f t="shared" si="0"/>
        <v>72318222724</v>
      </c>
      <c r="P23" s="229">
        <f t="shared" si="1"/>
        <v>72318222724</v>
      </c>
      <c r="Q23" s="230">
        <v>0</v>
      </c>
      <c r="R23" s="231">
        <v>0</v>
      </c>
      <c r="S23" s="229">
        <f t="shared" si="2"/>
        <v>0</v>
      </c>
      <c r="U23" s="226">
        <f t="shared" si="3"/>
        <v>72318222724</v>
      </c>
    </row>
    <row r="24" spans="1:21" ht="16">
      <c r="A24" s="234">
        <v>1145</v>
      </c>
      <c r="B24" s="234" t="s">
        <v>381</v>
      </c>
      <c r="C24" s="241">
        <v>79271623335</v>
      </c>
      <c r="D24" s="241"/>
      <c r="E24" s="242"/>
      <c r="F24" s="241">
        <f t="shared" si="4"/>
        <v>79271623335</v>
      </c>
      <c r="G24" s="241"/>
      <c r="H24" s="243">
        <v>0</v>
      </c>
      <c r="I24" s="222">
        <v>63799328701</v>
      </c>
      <c r="J24" s="227">
        <f t="shared" si="5"/>
        <v>-63799328701</v>
      </c>
      <c r="K24" s="225">
        <f t="shared" si="6"/>
        <v>0</v>
      </c>
      <c r="L24" s="227">
        <f t="shared" si="7"/>
        <v>143070952036</v>
      </c>
      <c r="N24" s="225">
        <f t="shared" si="0"/>
        <v>143070952036</v>
      </c>
      <c r="P24" s="229">
        <f t="shared" si="1"/>
        <v>143070952036</v>
      </c>
      <c r="Q24" s="230">
        <v>0</v>
      </c>
      <c r="R24" s="231">
        <v>0</v>
      </c>
      <c r="S24" s="229">
        <f t="shared" si="2"/>
        <v>0</v>
      </c>
      <c r="U24" s="226">
        <f t="shared" si="3"/>
        <v>143070952036</v>
      </c>
    </row>
    <row r="25" spans="1:21" ht="16">
      <c r="A25" s="234">
        <v>11451</v>
      </c>
      <c r="B25" s="234" t="s">
        <v>382</v>
      </c>
      <c r="C25" s="235">
        <v>12845561842</v>
      </c>
      <c r="D25" s="235"/>
      <c r="E25" s="236"/>
      <c r="F25" s="235">
        <f t="shared" si="4"/>
        <v>12845561842</v>
      </c>
      <c r="G25" s="235"/>
      <c r="H25" s="237">
        <v>0</v>
      </c>
      <c r="I25" s="222">
        <v>0</v>
      </c>
      <c r="J25" s="227">
        <f t="shared" si="5"/>
        <v>0</v>
      </c>
      <c r="K25" s="225">
        <f t="shared" si="6"/>
        <v>0</v>
      </c>
      <c r="L25" s="227">
        <f t="shared" si="7"/>
        <v>12845561842</v>
      </c>
      <c r="N25" s="225">
        <f t="shared" si="0"/>
        <v>12845561842</v>
      </c>
      <c r="P25" s="229">
        <f t="shared" si="1"/>
        <v>12845561842</v>
      </c>
      <c r="Q25" s="230">
        <v>0</v>
      </c>
      <c r="R25" s="231">
        <v>0</v>
      </c>
      <c r="S25" s="229">
        <f t="shared" si="2"/>
        <v>0</v>
      </c>
      <c r="U25" s="226">
        <f t="shared" si="3"/>
        <v>12845561842</v>
      </c>
    </row>
    <row r="26" spans="1:21" ht="16">
      <c r="A26" s="234">
        <v>11452</v>
      </c>
      <c r="B26" s="234" t="s">
        <v>383</v>
      </c>
      <c r="C26" s="235"/>
      <c r="D26" s="235"/>
      <c r="E26" s="236"/>
      <c r="F26" s="235">
        <f t="shared" si="4"/>
        <v>0</v>
      </c>
      <c r="G26" s="235"/>
      <c r="H26" s="237">
        <v>0</v>
      </c>
      <c r="I26" s="222">
        <v>0</v>
      </c>
      <c r="K26" s="225">
        <f t="shared" si="6"/>
        <v>0</v>
      </c>
      <c r="L26" s="227">
        <f t="shared" si="7"/>
        <v>0</v>
      </c>
      <c r="N26" s="225">
        <f t="shared" si="0"/>
        <v>0</v>
      </c>
      <c r="P26" s="229">
        <f t="shared" si="1"/>
        <v>0</v>
      </c>
      <c r="Q26" s="230">
        <v>0</v>
      </c>
      <c r="R26" s="231">
        <v>0</v>
      </c>
      <c r="S26" s="229">
        <f t="shared" si="2"/>
        <v>0</v>
      </c>
      <c r="U26" s="226">
        <f t="shared" si="3"/>
        <v>0</v>
      </c>
    </row>
    <row r="27" spans="1:21" ht="16">
      <c r="A27" s="234">
        <v>1146</v>
      </c>
      <c r="B27" s="234" t="s">
        <v>384</v>
      </c>
      <c r="C27" s="235">
        <v>0</v>
      </c>
      <c r="D27" s="235"/>
      <c r="E27" s="236"/>
      <c r="F27" s="235">
        <f t="shared" si="4"/>
        <v>0</v>
      </c>
      <c r="G27" s="235"/>
      <c r="H27" s="237">
        <v>0</v>
      </c>
      <c r="I27" s="222">
        <v>0</v>
      </c>
      <c r="K27" s="225">
        <f t="shared" si="6"/>
        <v>0</v>
      </c>
      <c r="L27" s="227">
        <f>+F27-J27</f>
        <v>0</v>
      </c>
      <c r="N27" s="225">
        <f t="shared" si="0"/>
        <v>0</v>
      </c>
      <c r="P27" s="229">
        <f t="shared" si="1"/>
        <v>0</v>
      </c>
      <c r="Q27" s="230">
        <v>0</v>
      </c>
      <c r="R27" s="231">
        <v>0</v>
      </c>
      <c r="S27" s="229">
        <f t="shared" si="2"/>
        <v>0</v>
      </c>
      <c r="U27" s="226">
        <f t="shared" si="3"/>
        <v>0</v>
      </c>
    </row>
    <row r="28" spans="1:21" ht="16">
      <c r="A28" s="233">
        <v>115</v>
      </c>
      <c r="B28" s="233" t="s">
        <v>385</v>
      </c>
      <c r="C28" s="238">
        <v>365538000000</v>
      </c>
      <c r="D28" s="238"/>
      <c r="E28" s="239"/>
      <c r="F28" s="238">
        <f t="shared" si="4"/>
        <v>365538000000</v>
      </c>
      <c r="G28" s="238"/>
      <c r="H28" s="240">
        <v>0</v>
      </c>
      <c r="I28" s="222">
        <v>0</v>
      </c>
      <c r="K28" s="225">
        <f t="shared" si="6"/>
        <v>0</v>
      </c>
      <c r="L28" s="227">
        <f t="shared" si="7"/>
        <v>365538000000</v>
      </c>
      <c r="N28" s="225">
        <f t="shared" si="0"/>
        <v>365538000000</v>
      </c>
      <c r="P28" s="229">
        <f t="shared" si="1"/>
        <v>365538000000</v>
      </c>
      <c r="Q28" s="230">
        <v>0</v>
      </c>
      <c r="R28" s="231">
        <v>0</v>
      </c>
      <c r="S28" s="229">
        <f t="shared" si="2"/>
        <v>0</v>
      </c>
      <c r="U28" s="226">
        <f t="shared" si="3"/>
        <v>365538000000</v>
      </c>
    </row>
    <row r="29" spans="1:21" ht="16">
      <c r="A29" s="234">
        <v>1151</v>
      </c>
      <c r="B29" s="234" t="s">
        <v>386</v>
      </c>
      <c r="C29" s="235">
        <v>365538000000</v>
      </c>
      <c r="D29" s="235"/>
      <c r="E29" s="236"/>
      <c r="F29" s="235">
        <f t="shared" si="4"/>
        <v>365538000000</v>
      </c>
      <c r="G29" s="235"/>
      <c r="H29" s="237">
        <v>0</v>
      </c>
      <c r="I29" s="222">
        <v>0</v>
      </c>
      <c r="K29" s="225">
        <f t="shared" si="6"/>
        <v>0</v>
      </c>
      <c r="L29" s="227">
        <f t="shared" si="7"/>
        <v>365538000000</v>
      </c>
      <c r="N29" s="225">
        <f t="shared" si="0"/>
        <v>365538000000</v>
      </c>
      <c r="P29" s="229">
        <f t="shared" si="1"/>
        <v>365538000000</v>
      </c>
      <c r="Q29" s="230">
        <v>0</v>
      </c>
      <c r="R29" s="231">
        <v>0</v>
      </c>
      <c r="S29" s="229">
        <f t="shared" si="2"/>
        <v>0</v>
      </c>
      <c r="U29" s="226">
        <f t="shared" si="3"/>
        <v>365538000000</v>
      </c>
    </row>
    <row r="30" spans="1:21" ht="16">
      <c r="A30" s="234">
        <v>1152</v>
      </c>
      <c r="B30" s="234" t="s">
        <v>387</v>
      </c>
      <c r="C30" s="235">
        <v>0</v>
      </c>
      <c r="D30" s="235"/>
      <c r="E30" s="236"/>
      <c r="F30" s="235">
        <f t="shared" si="4"/>
        <v>0</v>
      </c>
      <c r="G30" s="235"/>
      <c r="H30" s="237">
        <v>0</v>
      </c>
      <c r="I30" s="222">
        <v>0</v>
      </c>
      <c r="K30" s="225">
        <f t="shared" si="6"/>
        <v>0</v>
      </c>
      <c r="L30" s="227">
        <f t="shared" si="7"/>
        <v>0</v>
      </c>
      <c r="N30" s="225">
        <f t="shared" si="0"/>
        <v>0</v>
      </c>
      <c r="P30" s="229">
        <f t="shared" si="1"/>
        <v>0</v>
      </c>
      <c r="Q30" s="230">
        <v>0</v>
      </c>
      <c r="R30" s="231">
        <v>0</v>
      </c>
      <c r="S30" s="229">
        <f t="shared" si="2"/>
        <v>0</v>
      </c>
      <c r="U30" s="226">
        <f t="shared" si="3"/>
        <v>0</v>
      </c>
    </row>
    <row r="31" spans="1:21" ht="16">
      <c r="A31" s="234">
        <v>1153</v>
      </c>
      <c r="B31" s="234" t="s">
        <v>388</v>
      </c>
      <c r="C31" s="235">
        <v>0</v>
      </c>
      <c r="D31" s="235"/>
      <c r="E31" s="236"/>
      <c r="F31" s="235">
        <f t="shared" si="4"/>
        <v>0</v>
      </c>
      <c r="G31" s="235"/>
      <c r="H31" s="237">
        <v>0</v>
      </c>
      <c r="I31" s="222">
        <v>0</v>
      </c>
      <c r="K31" s="225">
        <f t="shared" si="6"/>
        <v>0</v>
      </c>
      <c r="L31" s="227">
        <f t="shared" si="7"/>
        <v>0</v>
      </c>
      <c r="N31" s="225">
        <f t="shared" si="0"/>
        <v>0</v>
      </c>
      <c r="P31" s="229">
        <f t="shared" si="1"/>
        <v>0</v>
      </c>
      <c r="Q31" s="230">
        <v>0</v>
      </c>
      <c r="R31" s="231">
        <v>0</v>
      </c>
      <c r="S31" s="229">
        <f t="shared" si="2"/>
        <v>0</v>
      </c>
      <c r="U31" s="226">
        <f t="shared" si="3"/>
        <v>0</v>
      </c>
    </row>
    <row r="32" spans="1:21" ht="16">
      <c r="A32" s="234">
        <v>1154</v>
      </c>
      <c r="B32" s="234" t="s">
        <v>389</v>
      </c>
      <c r="C32" s="235">
        <v>0</v>
      </c>
      <c r="D32" s="235"/>
      <c r="E32" s="236"/>
      <c r="F32" s="235">
        <f t="shared" si="4"/>
        <v>0</v>
      </c>
      <c r="G32" s="235"/>
      <c r="H32" s="237">
        <v>0</v>
      </c>
      <c r="I32" s="222">
        <v>0</v>
      </c>
      <c r="K32" s="225">
        <f t="shared" si="6"/>
        <v>0</v>
      </c>
      <c r="L32" s="227">
        <f t="shared" si="7"/>
        <v>0</v>
      </c>
      <c r="N32" s="225">
        <f t="shared" si="0"/>
        <v>0</v>
      </c>
      <c r="P32" s="229">
        <f t="shared" si="1"/>
        <v>0</v>
      </c>
      <c r="Q32" s="230">
        <v>0</v>
      </c>
      <c r="R32" s="231">
        <v>0</v>
      </c>
      <c r="S32" s="229">
        <f t="shared" si="2"/>
        <v>0</v>
      </c>
      <c r="U32" s="226">
        <f t="shared" si="3"/>
        <v>0</v>
      </c>
    </row>
    <row r="33" spans="1:21" ht="16">
      <c r="A33" s="234">
        <v>1155</v>
      </c>
      <c r="B33" s="234" t="s">
        <v>390</v>
      </c>
      <c r="C33" s="235">
        <v>0</v>
      </c>
      <c r="D33" s="235"/>
      <c r="E33" s="236"/>
      <c r="F33" s="235">
        <f t="shared" si="4"/>
        <v>0</v>
      </c>
      <c r="G33" s="235"/>
      <c r="H33" s="237">
        <v>0</v>
      </c>
      <c r="I33" s="222">
        <v>0</v>
      </c>
      <c r="K33" s="225">
        <f t="shared" si="6"/>
        <v>0</v>
      </c>
      <c r="L33" s="227">
        <f t="shared" si="7"/>
        <v>0</v>
      </c>
      <c r="N33" s="225">
        <f t="shared" si="0"/>
        <v>0</v>
      </c>
      <c r="P33" s="229">
        <f t="shared" si="1"/>
        <v>0</v>
      </c>
      <c r="Q33" s="230">
        <v>0</v>
      </c>
      <c r="R33" s="231">
        <v>0</v>
      </c>
      <c r="S33" s="229">
        <f t="shared" si="2"/>
        <v>0</v>
      </c>
      <c r="U33" s="226">
        <f t="shared" si="3"/>
        <v>0</v>
      </c>
    </row>
    <row r="34" spans="1:21" ht="16">
      <c r="A34" s="234">
        <v>1156</v>
      </c>
      <c r="B34" s="234" t="s">
        <v>391</v>
      </c>
      <c r="C34" s="235">
        <v>0</v>
      </c>
      <c r="D34" s="235"/>
      <c r="E34" s="236"/>
      <c r="F34" s="235">
        <f t="shared" si="4"/>
        <v>0</v>
      </c>
      <c r="G34" s="235"/>
      <c r="H34" s="237">
        <v>0</v>
      </c>
      <c r="I34" s="222">
        <v>0</v>
      </c>
      <c r="K34" s="225">
        <f t="shared" si="6"/>
        <v>0</v>
      </c>
      <c r="L34" s="227">
        <f t="shared" si="7"/>
        <v>0</v>
      </c>
      <c r="N34" s="225">
        <f t="shared" si="0"/>
        <v>0</v>
      </c>
      <c r="P34" s="229">
        <f t="shared" si="1"/>
        <v>0</v>
      </c>
      <c r="Q34" s="230">
        <v>0</v>
      </c>
      <c r="R34" s="231">
        <v>0</v>
      </c>
      <c r="S34" s="229">
        <f t="shared" si="2"/>
        <v>0</v>
      </c>
      <c r="U34" s="226">
        <f t="shared" si="3"/>
        <v>0</v>
      </c>
    </row>
    <row r="35" spans="1:21" ht="16">
      <c r="A35" s="233">
        <v>116</v>
      </c>
      <c r="B35" s="233" t="s">
        <v>392</v>
      </c>
      <c r="C35" s="238">
        <v>37703704333</v>
      </c>
      <c r="D35" s="238"/>
      <c r="E35" s="239"/>
      <c r="F35" s="238">
        <f t="shared" si="4"/>
        <v>37703704333</v>
      </c>
      <c r="G35" s="238"/>
      <c r="H35" s="240">
        <v>0</v>
      </c>
      <c r="I35" s="222">
        <v>0</v>
      </c>
      <c r="K35" s="225">
        <f t="shared" si="6"/>
        <v>0</v>
      </c>
      <c r="L35" s="227">
        <f t="shared" si="7"/>
        <v>37703704333</v>
      </c>
      <c r="N35" s="225">
        <f t="shared" si="0"/>
        <v>37703704333</v>
      </c>
      <c r="P35" s="229">
        <f t="shared" si="1"/>
        <v>37703704333</v>
      </c>
      <c r="Q35" s="230">
        <v>0</v>
      </c>
      <c r="R35" s="231">
        <v>0</v>
      </c>
      <c r="S35" s="229">
        <f t="shared" si="2"/>
        <v>0</v>
      </c>
      <c r="U35" s="226">
        <f t="shared" si="3"/>
        <v>37703704333</v>
      </c>
    </row>
    <row r="36" spans="1:21" ht="16">
      <c r="A36" s="232">
        <v>12</v>
      </c>
      <c r="B36" s="232" t="s">
        <v>393</v>
      </c>
      <c r="C36" s="238">
        <v>0</v>
      </c>
      <c r="D36" s="238"/>
      <c r="E36" s="239"/>
      <c r="F36" s="238">
        <f t="shared" si="4"/>
        <v>0</v>
      </c>
      <c r="G36" s="238"/>
      <c r="H36" s="240">
        <v>0</v>
      </c>
      <c r="I36" s="222">
        <v>0</v>
      </c>
      <c r="K36" s="225">
        <f t="shared" si="6"/>
        <v>0</v>
      </c>
      <c r="L36" s="227">
        <f t="shared" si="7"/>
        <v>0</v>
      </c>
      <c r="N36" s="225">
        <f t="shared" si="0"/>
        <v>0</v>
      </c>
      <c r="P36" s="229">
        <f t="shared" si="1"/>
        <v>0</v>
      </c>
      <c r="Q36" s="230">
        <v>135510919521</v>
      </c>
      <c r="R36" s="231">
        <v>27630552003</v>
      </c>
      <c r="S36" s="229">
        <f t="shared" si="2"/>
        <v>163141471524</v>
      </c>
      <c r="U36" s="226">
        <f t="shared" si="3"/>
        <v>163141471524</v>
      </c>
    </row>
    <row r="37" spans="1:21" ht="16">
      <c r="A37" s="233">
        <v>121</v>
      </c>
      <c r="B37" s="233" t="s">
        <v>394</v>
      </c>
      <c r="C37" s="238">
        <v>0</v>
      </c>
      <c r="D37" s="238"/>
      <c r="E37" s="239"/>
      <c r="F37" s="238">
        <f t="shared" si="4"/>
        <v>0</v>
      </c>
      <c r="G37" s="238"/>
      <c r="H37" s="240">
        <v>0</v>
      </c>
      <c r="I37" s="222">
        <v>0</v>
      </c>
      <c r="K37" s="225">
        <f t="shared" si="6"/>
        <v>0</v>
      </c>
      <c r="L37" s="227">
        <f t="shared" si="7"/>
        <v>0</v>
      </c>
      <c r="N37" s="225">
        <f t="shared" si="0"/>
        <v>0</v>
      </c>
      <c r="P37" s="229">
        <f t="shared" si="1"/>
        <v>0</v>
      </c>
      <c r="Q37" s="230">
        <v>135510919521</v>
      </c>
      <c r="R37" s="231">
        <v>27630552003</v>
      </c>
      <c r="S37" s="229">
        <f t="shared" si="2"/>
        <v>163141471524</v>
      </c>
      <c r="U37" s="226">
        <f t="shared" si="3"/>
        <v>163141471524</v>
      </c>
    </row>
    <row r="38" spans="1:21" ht="16">
      <c r="A38" s="234">
        <v>1211</v>
      </c>
      <c r="B38" s="234" t="s">
        <v>395</v>
      </c>
      <c r="C38" s="235">
        <v>0</v>
      </c>
      <c r="D38" s="235"/>
      <c r="E38" s="236"/>
      <c r="F38" s="235">
        <f t="shared" si="4"/>
        <v>0</v>
      </c>
      <c r="G38" s="235"/>
      <c r="H38" s="237">
        <v>0</v>
      </c>
      <c r="I38" s="222">
        <v>0</v>
      </c>
      <c r="K38" s="225">
        <f t="shared" si="6"/>
        <v>0</v>
      </c>
      <c r="L38" s="227">
        <f t="shared" si="7"/>
        <v>0</v>
      </c>
      <c r="N38" s="225">
        <f t="shared" si="0"/>
        <v>0</v>
      </c>
      <c r="P38" s="229">
        <f t="shared" si="1"/>
        <v>0</v>
      </c>
      <c r="Q38" s="230">
        <v>135510919521</v>
      </c>
      <c r="R38" s="231">
        <v>0</v>
      </c>
      <c r="S38" s="229">
        <f t="shared" si="2"/>
        <v>135510919521</v>
      </c>
      <c r="U38" s="226">
        <f t="shared" si="3"/>
        <v>135510919521</v>
      </c>
    </row>
    <row r="39" spans="1:21" ht="16">
      <c r="A39" s="234">
        <v>1212</v>
      </c>
      <c r="B39" s="234" t="s">
        <v>396</v>
      </c>
      <c r="C39" s="235">
        <v>0</v>
      </c>
      <c r="D39" s="235"/>
      <c r="E39" s="236"/>
      <c r="F39" s="235">
        <f t="shared" si="4"/>
        <v>0</v>
      </c>
      <c r="G39" s="235"/>
      <c r="H39" s="237">
        <v>0</v>
      </c>
      <c r="I39" s="222">
        <v>0</v>
      </c>
      <c r="K39" s="225">
        <f t="shared" si="6"/>
        <v>0</v>
      </c>
      <c r="L39" s="227">
        <f t="shared" si="7"/>
        <v>0</v>
      </c>
      <c r="N39" s="225">
        <f t="shared" si="0"/>
        <v>0</v>
      </c>
      <c r="P39" s="229">
        <f t="shared" si="1"/>
        <v>0</v>
      </c>
      <c r="Q39" s="230">
        <v>0</v>
      </c>
      <c r="R39" s="231">
        <v>27507781987</v>
      </c>
      <c r="S39" s="229">
        <f t="shared" si="2"/>
        <v>27507781987</v>
      </c>
      <c r="U39" s="226">
        <f t="shared" si="3"/>
        <v>27507781987</v>
      </c>
    </row>
    <row r="40" spans="1:21" ht="16">
      <c r="A40" s="234">
        <v>1213</v>
      </c>
      <c r="B40" s="234" t="s">
        <v>397</v>
      </c>
      <c r="C40" s="235">
        <v>0</v>
      </c>
      <c r="D40" s="235"/>
      <c r="E40" s="236"/>
      <c r="F40" s="235">
        <f t="shared" si="4"/>
        <v>0</v>
      </c>
      <c r="G40" s="235"/>
      <c r="H40" s="237">
        <v>0</v>
      </c>
      <c r="I40" s="222">
        <v>0</v>
      </c>
      <c r="K40" s="225">
        <f t="shared" si="6"/>
        <v>0</v>
      </c>
      <c r="L40" s="227">
        <f t="shared" si="7"/>
        <v>0</v>
      </c>
      <c r="N40" s="225">
        <f t="shared" si="0"/>
        <v>0</v>
      </c>
      <c r="P40" s="229">
        <f t="shared" si="1"/>
        <v>0</v>
      </c>
      <c r="Q40" s="230">
        <v>0</v>
      </c>
      <c r="R40" s="231">
        <v>0</v>
      </c>
      <c r="S40" s="229">
        <f t="shared" si="2"/>
        <v>0</v>
      </c>
      <c r="U40" s="226">
        <f t="shared" si="3"/>
        <v>0</v>
      </c>
    </row>
    <row r="41" spans="1:21" ht="16">
      <c r="A41" s="234">
        <v>1214</v>
      </c>
      <c r="B41" s="234" t="s">
        <v>398</v>
      </c>
      <c r="C41" s="235">
        <v>0</v>
      </c>
      <c r="D41" s="235"/>
      <c r="E41" s="236"/>
      <c r="F41" s="235">
        <f t="shared" si="4"/>
        <v>0</v>
      </c>
      <c r="G41" s="235"/>
      <c r="H41" s="237">
        <v>0</v>
      </c>
      <c r="I41" s="222">
        <v>0</v>
      </c>
      <c r="K41" s="225">
        <f t="shared" si="6"/>
        <v>0</v>
      </c>
      <c r="L41" s="227">
        <f t="shared" si="7"/>
        <v>0</v>
      </c>
      <c r="N41" s="225">
        <f t="shared" si="0"/>
        <v>0</v>
      </c>
      <c r="P41" s="229">
        <f t="shared" si="1"/>
        <v>0</v>
      </c>
      <c r="Q41" s="230">
        <v>0</v>
      </c>
      <c r="R41" s="231">
        <v>122770016</v>
      </c>
      <c r="S41" s="229">
        <f t="shared" si="2"/>
        <v>122770016</v>
      </c>
      <c r="U41" s="226">
        <f t="shared" si="3"/>
        <v>122770016</v>
      </c>
    </row>
    <row r="42" spans="1:21" ht="16">
      <c r="A42" s="233">
        <v>122</v>
      </c>
      <c r="B42" s="233" t="s">
        <v>399</v>
      </c>
      <c r="C42" s="238">
        <v>0</v>
      </c>
      <c r="D42" s="238"/>
      <c r="E42" s="239"/>
      <c r="F42" s="238">
        <f t="shared" si="4"/>
        <v>0</v>
      </c>
      <c r="G42" s="238"/>
      <c r="H42" s="240">
        <v>0</v>
      </c>
      <c r="I42" s="222">
        <v>0</v>
      </c>
      <c r="K42" s="225">
        <f t="shared" si="6"/>
        <v>0</v>
      </c>
      <c r="L42" s="227">
        <f t="shared" si="7"/>
        <v>0</v>
      </c>
      <c r="N42" s="225">
        <f t="shared" si="0"/>
        <v>0</v>
      </c>
      <c r="P42" s="229">
        <f t="shared" si="1"/>
        <v>0</v>
      </c>
      <c r="Q42" s="230">
        <v>0</v>
      </c>
      <c r="R42" s="231">
        <v>0</v>
      </c>
      <c r="S42" s="229">
        <f t="shared" si="2"/>
        <v>0</v>
      </c>
      <c r="U42" s="226">
        <f t="shared" si="3"/>
        <v>0</v>
      </c>
    </row>
    <row r="43" spans="1:21" ht="16">
      <c r="A43" s="234">
        <v>1221</v>
      </c>
      <c r="B43" s="234" t="s">
        <v>400</v>
      </c>
      <c r="C43" s="235">
        <v>0</v>
      </c>
      <c r="D43" s="235"/>
      <c r="E43" s="236"/>
      <c r="F43" s="235">
        <f t="shared" si="4"/>
        <v>0</v>
      </c>
      <c r="G43" s="235"/>
      <c r="H43" s="237">
        <v>0</v>
      </c>
      <c r="I43" s="222">
        <v>0</v>
      </c>
      <c r="K43" s="225">
        <f t="shared" si="6"/>
        <v>0</v>
      </c>
      <c r="L43" s="227">
        <f t="shared" si="7"/>
        <v>0</v>
      </c>
      <c r="N43" s="225">
        <f t="shared" si="0"/>
        <v>0</v>
      </c>
      <c r="P43" s="229">
        <f t="shared" si="1"/>
        <v>0</v>
      </c>
      <c r="Q43" s="230">
        <v>0</v>
      </c>
      <c r="R43" s="231">
        <v>0</v>
      </c>
      <c r="S43" s="229">
        <f t="shared" si="2"/>
        <v>0</v>
      </c>
      <c r="U43" s="226">
        <f t="shared" si="3"/>
        <v>0</v>
      </c>
    </row>
    <row r="44" spans="1:21" ht="16">
      <c r="A44" s="234">
        <v>1222</v>
      </c>
      <c r="B44" s="234" t="s">
        <v>401</v>
      </c>
      <c r="C44" s="235">
        <v>0</v>
      </c>
      <c r="D44" s="235"/>
      <c r="E44" s="236"/>
      <c r="F44" s="235">
        <f t="shared" si="4"/>
        <v>0</v>
      </c>
      <c r="G44" s="235"/>
      <c r="H44" s="237">
        <v>0</v>
      </c>
      <c r="I44" s="222">
        <v>0</v>
      </c>
      <c r="K44" s="225">
        <f t="shared" si="6"/>
        <v>0</v>
      </c>
      <c r="L44" s="227">
        <f t="shared" si="7"/>
        <v>0</v>
      </c>
      <c r="N44" s="225">
        <f t="shared" si="0"/>
        <v>0</v>
      </c>
      <c r="P44" s="229">
        <f t="shared" si="1"/>
        <v>0</v>
      </c>
      <c r="Q44" s="230">
        <v>0</v>
      </c>
      <c r="R44" s="231">
        <v>0</v>
      </c>
      <c r="S44" s="229">
        <f t="shared" si="2"/>
        <v>0</v>
      </c>
      <c r="U44" s="226">
        <f t="shared" si="3"/>
        <v>0</v>
      </c>
    </row>
    <row r="45" spans="1:21" ht="16">
      <c r="A45" s="234">
        <v>1223</v>
      </c>
      <c r="B45" s="234" t="s">
        <v>402</v>
      </c>
      <c r="C45" s="235">
        <v>0</v>
      </c>
      <c r="D45" s="235"/>
      <c r="E45" s="236"/>
      <c r="F45" s="235">
        <f t="shared" si="4"/>
        <v>0</v>
      </c>
      <c r="G45" s="235"/>
      <c r="H45" s="237">
        <v>0</v>
      </c>
      <c r="I45" s="222">
        <v>0</v>
      </c>
      <c r="K45" s="225">
        <f t="shared" si="6"/>
        <v>0</v>
      </c>
      <c r="L45" s="227">
        <f t="shared" si="7"/>
        <v>0</v>
      </c>
      <c r="N45" s="225">
        <f t="shared" si="0"/>
        <v>0</v>
      </c>
      <c r="P45" s="229">
        <f t="shared" si="1"/>
        <v>0</v>
      </c>
      <c r="Q45" s="230">
        <v>0</v>
      </c>
      <c r="R45" s="231">
        <v>0</v>
      </c>
      <c r="S45" s="229">
        <f t="shared" si="2"/>
        <v>0</v>
      </c>
      <c r="U45" s="226">
        <f t="shared" si="3"/>
        <v>0</v>
      </c>
    </row>
    <row r="46" spans="1:21" ht="16">
      <c r="A46" s="232">
        <v>13</v>
      </c>
      <c r="B46" s="232" t="s">
        <v>403</v>
      </c>
      <c r="C46" s="238">
        <v>224326020083.73596</v>
      </c>
      <c r="D46" s="238">
        <f>+D53</f>
        <v>435736466703</v>
      </c>
      <c r="E46" s="244">
        <f>+E53</f>
        <v>-435736466703</v>
      </c>
      <c r="F46" s="238">
        <f t="shared" si="4"/>
        <v>224326020083.73596</v>
      </c>
      <c r="G46" s="238"/>
      <c r="H46" s="240">
        <v>665086077310.27002</v>
      </c>
      <c r="I46" s="222">
        <v>57923318630</v>
      </c>
      <c r="J46" s="227">
        <f>+I3</f>
        <v>80868799094</v>
      </c>
      <c r="K46" s="225">
        <f t="shared" si="6"/>
        <v>138792117724</v>
      </c>
      <c r="L46" s="228">
        <f>+F46</f>
        <v>224326020083.73596</v>
      </c>
      <c r="N46" s="225">
        <f t="shared" si="0"/>
        <v>224326020083.73596</v>
      </c>
      <c r="O46" s="228">
        <f>+O53</f>
        <v>-511760255726.27002</v>
      </c>
      <c r="P46" s="229">
        <f>+H46+N46+O46</f>
        <v>377651841667.73596</v>
      </c>
      <c r="Q46" s="230">
        <v>0</v>
      </c>
      <c r="R46" s="231">
        <v>0</v>
      </c>
      <c r="S46" s="229">
        <f t="shared" si="2"/>
        <v>0</v>
      </c>
      <c r="T46" s="220">
        <f>T53</f>
        <v>-135273843671</v>
      </c>
      <c r="U46" s="226">
        <f t="shared" si="3"/>
        <v>381170115720.73596</v>
      </c>
    </row>
    <row r="47" spans="1:21" ht="16">
      <c r="A47" s="233">
        <v>131</v>
      </c>
      <c r="B47" s="233" t="s">
        <v>404</v>
      </c>
      <c r="C47" s="238">
        <v>214070263528.73596</v>
      </c>
      <c r="D47" s="238"/>
      <c r="E47" s="239"/>
      <c r="F47" s="238">
        <f t="shared" si="4"/>
        <v>214070263528.73596</v>
      </c>
      <c r="G47" s="238"/>
      <c r="H47" s="240">
        <v>113850000</v>
      </c>
      <c r="I47" s="222">
        <v>0</v>
      </c>
      <c r="K47" s="225">
        <f t="shared" si="6"/>
        <v>0</v>
      </c>
      <c r="L47" s="228">
        <f t="shared" ref="L47:L110" si="8">+F47</f>
        <v>214070263528.73596</v>
      </c>
      <c r="N47" s="225">
        <f>+L47+M47</f>
        <v>214070263528.73596</v>
      </c>
      <c r="P47" s="229">
        <f t="shared" si="1"/>
        <v>214184113528.73596</v>
      </c>
      <c r="Q47" s="230">
        <v>0</v>
      </c>
      <c r="R47" s="231">
        <v>0</v>
      </c>
      <c r="S47" s="229">
        <f t="shared" si="2"/>
        <v>0</v>
      </c>
      <c r="U47" s="226">
        <f t="shared" si="3"/>
        <v>214184113528.73596</v>
      </c>
    </row>
    <row r="48" spans="1:21" ht="16">
      <c r="A48" s="234">
        <v>1311</v>
      </c>
      <c r="B48" s="234" t="s">
        <v>405</v>
      </c>
      <c r="C48" s="235">
        <v>6198000000</v>
      </c>
      <c r="D48" s="235"/>
      <c r="E48" s="236"/>
      <c r="F48" s="235">
        <f t="shared" si="4"/>
        <v>6198000000</v>
      </c>
      <c r="G48" s="235"/>
      <c r="H48" s="237">
        <v>113850000</v>
      </c>
      <c r="I48" s="222">
        <v>0</v>
      </c>
      <c r="K48" s="225">
        <f t="shared" si="6"/>
        <v>0</v>
      </c>
      <c r="L48" s="228">
        <f t="shared" si="8"/>
        <v>6198000000</v>
      </c>
      <c r="N48" s="225">
        <f t="shared" si="0"/>
        <v>6198000000</v>
      </c>
      <c r="P48" s="229">
        <f t="shared" si="1"/>
        <v>6311850000</v>
      </c>
      <c r="Q48" s="230">
        <v>0</v>
      </c>
      <c r="R48" s="231">
        <v>0</v>
      </c>
      <c r="S48" s="229">
        <f t="shared" si="2"/>
        <v>0</v>
      </c>
      <c r="U48" s="226">
        <f t="shared" si="3"/>
        <v>6311850000</v>
      </c>
    </row>
    <row r="49" spans="1:21" ht="16">
      <c r="A49" s="234">
        <v>1312</v>
      </c>
      <c r="B49" s="234" t="s">
        <v>406</v>
      </c>
      <c r="C49" s="235">
        <v>207872263528.73596</v>
      </c>
      <c r="D49" s="235"/>
      <c r="E49" s="236"/>
      <c r="F49" s="235">
        <f t="shared" si="4"/>
        <v>207872263528.73596</v>
      </c>
      <c r="G49" s="235"/>
      <c r="H49" s="237">
        <v>0</v>
      </c>
      <c r="I49" s="222">
        <v>0</v>
      </c>
      <c r="K49" s="225">
        <f t="shared" si="6"/>
        <v>0</v>
      </c>
      <c r="L49" s="228">
        <f t="shared" si="8"/>
        <v>207872263528.73596</v>
      </c>
      <c r="N49" s="225">
        <f t="shared" si="0"/>
        <v>207872263528.73596</v>
      </c>
      <c r="P49" s="229">
        <f t="shared" si="1"/>
        <v>207872263528.73596</v>
      </c>
      <c r="Q49" s="230">
        <v>0</v>
      </c>
      <c r="R49" s="231">
        <v>0</v>
      </c>
      <c r="S49" s="229">
        <f t="shared" si="2"/>
        <v>0</v>
      </c>
      <c r="U49" s="226">
        <f t="shared" si="3"/>
        <v>207872263528.73596</v>
      </c>
    </row>
    <row r="50" spans="1:21" ht="16">
      <c r="A50" s="233">
        <v>132</v>
      </c>
      <c r="B50" s="233" t="s">
        <v>407</v>
      </c>
      <c r="C50" s="238">
        <v>10255756555</v>
      </c>
      <c r="D50" s="238"/>
      <c r="E50" s="239"/>
      <c r="F50" s="238">
        <f t="shared" si="4"/>
        <v>10255756555</v>
      </c>
      <c r="G50" s="238"/>
      <c r="H50" s="240">
        <f>+H52</f>
        <v>153211971584</v>
      </c>
      <c r="I50" s="222">
        <v>0</v>
      </c>
      <c r="K50" s="225">
        <f>+K51+K52</f>
        <v>3518274053.2700195</v>
      </c>
      <c r="L50" s="228">
        <f t="shared" si="8"/>
        <v>10255756555</v>
      </c>
      <c r="N50" s="225">
        <f t="shared" si="0"/>
        <v>10255756555</v>
      </c>
      <c r="P50" s="229">
        <f t="shared" si="1"/>
        <v>163467728139</v>
      </c>
      <c r="Q50" s="230">
        <v>0</v>
      </c>
      <c r="R50" s="231">
        <v>0</v>
      </c>
      <c r="S50" s="229">
        <f t="shared" si="2"/>
        <v>0</v>
      </c>
      <c r="U50" s="226">
        <f t="shared" si="3"/>
        <v>166986002192.27002</v>
      </c>
    </row>
    <row r="51" spans="1:21" ht="16">
      <c r="A51" s="234">
        <v>1321</v>
      </c>
      <c r="B51" s="234" t="s">
        <v>408</v>
      </c>
      <c r="C51" s="235">
        <v>10255756555</v>
      </c>
      <c r="D51" s="235"/>
      <c r="E51" s="236"/>
      <c r="F51" s="235">
        <f t="shared" si="4"/>
        <v>10255756555</v>
      </c>
      <c r="G51" s="235"/>
      <c r="H51" s="237">
        <v>0</v>
      </c>
      <c r="I51" s="222">
        <v>0</v>
      </c>
      <c r="K51" s="225">
        <f t="shared" si="6"/>
        <v>0</v>
      </c>
      <c r="L51" s="228">
        <f t="shared" si="8"/>
        <v>10255756555</v>
      </c>
      <c r="N51" s="225">
        <f t="shared" si="0"/>
        <v>10255756555</v>
      </c>
      <c r="P51" s="229">
        <f t="shared" si="1"/>
        <v>10255756555</v>
      </c>
      <c r="Q51" s="230">
        <v>0</v>
      </c>
      <c r="R51" s="231">
        <v>0</v>
      </c>
      <c r="S51" s="229">
        <f t="shared" si="2"/>
        <v>0</v>
      </c>
      <c r="U51" s="226">
        <f t="shared" si="3"/>
        <v>10255756555</v>
      </c>
    </row>
    <row r="52" spans="1:21" ht="16">
      <c r="A52" s="234">
        <v>1322</v>
      </c>
      <c r="B52" s="234" t="s">
        <v>409</v>
      </c>
      <c r="C52" s="235">
        <v>0</v>
      </c>
      <c r="D52" s="235"/>
      <c r="E52" s="236"/>
      <c r="F52" s="235">
        <f t="shared" si="4"/>
        <v>0</v>
      </c>
      <c r="G52" s="235"/>
      <c r="H52" s="237">
        <f>88211971584+65000000000</f>
        <v>153211971584</v>
      </c>
      <c r="I52" s="222">
        <v>0</v>
      </c>
      <c r="K52" s="225">
        <v>3518274053.2700195</v>
      </c>
      <c r="L52" s="228">
        <f t="shared" si="8"/>
        <v>0</v>
      </c>
      <c r="N52" s="225">
        <f t="shared" si="0"/>
        <v>0</v>
      </c>
      <c r="P52" s="229">
        <f t="shared" si="1"/>
        <v>153211971584</v>
      </c>
      <c r="Q52" s="230">
        <v>0</v>
      </c>
      <c r="R52" s="231">
        <v>0</v>
      </c>
      <c r="S52" s="229">
        <f t="shared" si="2"/>
        <v>0</v>
      </c>
      <c r="U52" s="226">
        <f t="shared" si="3"/>
        <v>156730245637.27002</v>
      </c>
    </row>
    <row r="53" spans="1:21" ht="16">
      <c r="A53" s="233">
        <v>133</v>
      </c>
      <c r="B53" s="233" t="s">
        <v>410</v>
      </c>
      <c r="C53" s="238">
        <v>0</v>
      </c>
      <c r="D53" s="238">
        <f>+D54+D55</f>
        <v>435736466703</v>
      </c>
      <c r="E53" s="239">
        <f>-D53</f>
        <v>-435736466703</v>
      </c>
      <c r="F53" s="238">
        <f t="shared" si="4"/>
        <v>0</v>
      </c>
      <c r="G53" s="238"/>
      <c r="H53" s="240">
        <f>+H54+H55</f>
        <v>511760255726.27002</v>
      </c>
      <c r="I53" s="222">
        <v>57923318630</v>
      </c>
      <c r="J53" s="227">
        <f>+J46</f>
        <v>80868799094</v>
      </c>
      <c r="K53" s="225">
        <f>+K54+K55</f>
        <v>135273843671</v>
      </c>
      <c r="L53" s="228">
        <f t="shared" si="8"/>
        <v>0</v>
      </c>
      <c r="N53" s="225">
        <f t="shared" si="0"/>
        <v>0</v>
      </c>
      <c r="O53" s="228">
        <v>-511760255726.27002</v>
      </c>
      <c r="P53" s="229">
        <f t="shared" si="1"/>
        <v>0</v>
      </c>
      <c r="Q53" s="230">
        <v>0</v>
      </c>
      <c r="R53" s="231">
        <v>0</v>
      </c>
      <c r="S53" s="229">
        <f t="shared" si="2"/>
        <v>0</v>
      </c>
      <c r="T53" s="220">
        <f>-K53</f>
        <v>-135273843671</v>
      </c>
      <c r="U53" s="226">
        <f t="shared" si="3"/>
        <v>0</v>
      </c>
    </row>
    <row r="54" spans="1:21" ht="16">
      <c r="A54" s="234">
        <v>1331</v>
      </c>
      <c r="B54" s="234" t="s">
        <v>411</v>
      </c>
      <c r="C54" s="235">
        <v>0</v>
      </c>
      <c r="D54" s="235">
        <f>+D84</f>
        <v>397016339803</v>
      </c>
      <c r="E54" s="236">
        <f>-D54</f>
        <v>-397016339803</v>
      </c>
      <c r="F54" s="235">
        <f t="shared" si="4"/>
        <v>0</v>
      </c>
      <c r="G54" s="235"/>
      <c r="H54" s="237">
        <v>110927265376.26999</v>
      </c>
      <c r="I54" s="222">
        <v>27741092463</v>
      </c>
      <c r="J54" s="227">
        <f>+J46</f>
        <v>80868799094</v>
      </c>
      <c r="K54" s="225">
        <f t="shared" si="6"/>
        <v>108609891557</v>
      </c>
      <c r="L54" s="228">
        <f t="shared" si="8"/>
        <v>0</v>
      </c>
      <c r="N54" s="225">
        <f t="shared" si="0"/>
        <v>0</v>
      </c>
      <c r="O54" s="228">
        <v>-110927265376.26999</v>
      </c>
      <c r="P54" s="229">
        <f t="shared" si="1"/>
        <v>0</v>
      </c>
      <c r="Q54" s="230">
        <v>0</v>
      </c>
      <c r="R54" s="231">
        <v>0</v>
      </c>
      <c r="S54" s="229">
        <f t="shared" si="2"/>
        <v>0</v>
      </c>
      <c r="T54" s="220">
        <f>-K54</f>
        <v>-108609891557</v>
      </c>
      <c r="U54" s="226">
        <f t="shared" si="3"/>
        <v>0</v>
      </c>
    </row>
    <row r="55" spans="1:21" ht="16">
      <c r="A55" s="234">
        <v>1332</v>
      </c>
      <c r="B55" s="234" t="s">
        <v>412</v>
      </c>
      <c r="C55" s="235">
        <v>0</v>
      </c>
      <c r="D55" s="235">
        <f>+D132</f>
        <v>38720126900</v>
      </c>
      <c r="E55" s="236">
        <f>-D55</f>
        <v>-38720126900</v>
      </c>
      <c r="F55" s="235">
        <f t="shared" si="4"/>
        <v>0</v>
      </c>
      <c r="G55" s="235"/>
      <c r="H55" s="237">
        <f>465832990350-65000000000</f>
        <v>400832990350</v>
      </c>
      <c r="I55" s="222">
        <v>30182226167</v>
      </c>
      <c r="K55" s="225">
        <f>+I55+J55-3518274053</f>
        <v>26663952114</v>
      </c>
      <c r="L55" s="228">
        <f t="shared" si="8"/>
        <v>0</v>
      </c>
      <c r="N55" s="225">
        <f t="shared" si="0"/>
        <v>0</v>
      </c>
      <c r="O55" s="228">
        <v>-400832990350</v>
      </c>
      <c r="P55" s="229">
        <f t="shared" si="1"/>
        <v>0</v>
      </c>
      <c r="Q55" s="230">
        <v>0</v>
      </c>
      <c r="R55" s="231">
        <v>0</v>
      </c>
      <c r="S55" s="229">
        <f t="shared" si="2"/>
        <v>0</v>
      </c>
      <c r="T55" s="220">
        <f>-K55</f>
        <v>-26663952114</v>
      </c>
      <c r="U55" s="226">
        <f t="shared" si="3"/>
        <v>0</v>
      </c>
    </row>
    <row r="56" spans="1:21" ht="16">
      <c r="A56" s="232">
        <v>14</v>
      </c>
      <c r="B56" s="232" t="s">
        <v>413</v>
      </c>
      <c r="C56" s="238">
        <v>154491313966</v>
      </c>
      <c r="D56" s="238"/>
      <c r="E56" s="239"/>
      <c r="F56" s="238">
        <f t="shared" si="4"/>
        <v>154491313966</v>
      </c>
      <c r="G56" s="238"/>
      <c r="H56" s="240">
        <v>53806129329.739998</v>
      </c>
      <c r="I56" s="222">
        <v>25145245083</v>
      </c>
      <c r="K56" s="225">
        <f t="shared" si="6"/>
        <v>25145245083</v>
      </c>
      <c r="L56" s="228">
        <f t="shared" si="8"/>
        <v>154491313966</v>
      </c>
      <c r="N56" s="225">
        <f t="shared" si="0"/>
        <v>154491313966</v>
      </c>
      <c r="P56" s="229">
        <f t="shared" si="1"/>
        <v>208297443295.73999</v>
      </c>
      <c r="Q56" s="230">
        <v>9224453808</v>
      </c>
      <c r="R56" s="231">
        <v>4702568184</v>
      </c>
      <c r="S56" s="229">
        <f t="shared" si="2"/>
        <v>13927021992</v>
      </c>
      <c r="T56" s="220">
        <f>T58</f>
        <v>-207589249</v>
      </c>
      <c r="U56" s="226">
        <f t="shared" si="3"/>
        <v>247162121121.73999</v>
      </c>
    </row>
    <row r="57" spans="1:21" ht="16">
      <c r="A57" s="233">
        <v>141</v>
      </c>
      <c r="B57" s="233" t="s">
        <v>414</v>
      </c>
      <c r="C57" s="238">
        <v>100797984661</v>
      </c>
      <c r="D57" s="238"/>
      <c r="E57" s="239"/>
      <c r="F57" s="238">
        <f t="shared" si="4"/>
        <v>100797984661</v>
      </c>
      <c r="G57" s="238"/>
      <c r="H57" s="240">
        <v>20172154</v>
      </c>
      <c r="I57" s="222">
        <v>68647500</v>
      </c>
      <c r="K57" s="225">
        <f t="shared" si="6"/>
        <v>68647500</v>
      </c>
      <c r="L57" s="228">
        <f t="shared" si="8"/>
        <v>100797984661</v>
      </c>
      <c r="N57" s="225">
        <f t="shared" si="0"/>
        <v>100797984661</v>
      </c>
      <c r="P57" s="229">
        <f t="shared" si="1"/>
        <v>100818156815</v>
      </c>
      <c r="Q57" s="230">
        <v>7562803747</v>
      </c>
      <c r="R57" s="231">
        <v>1700226656</v>
      </c>
      <c r="S57" s="229">
        <f t="shared" si="2"/>
        <v>9263030403</v>
      </c>
      <c r="U57" s="226">
        <f t="shared" si="3"/>
        <v>110149834718</v>
      </c>
    </row>
    <row r="58" spans="1:21" ht="16">
      <c r="A58" s="234">
        <v>1411</v>
      </c>
      <c r="B58" s="234" t="s">
        <v>415</v>
      </c>
      <c r="C58" s="235">
        <v>588867230</v>
      </c>
      <c r="D58" s="235"/>
      <c r="E58" s="236"/>
      <c r="F58" s="235">
        <f t="shared" si="4"/>
        <v>588867230</v>
      </c>
      <c r="G58" s="235"/>
      <c r="H58" s="237">
        <v>0</v>
      </c>
      <c r="I58" s="222">
        <v>0</v>
      </c>
      <c r="K58" s="225">
        <f t="shared" si="6"/>
        <v>0</v>
      </c>
      <c r="L58" s="228">
        <f t="shared" si="8"/>
        <v>588867230</v>
      </c>
      <c r="N58" s="225">
        <f t="shared" si="0"/>
        <v>588867230</v>
      </c>
      <c r="P58" s="229">
        <f t="shared" si="1"/>
        <v>588867230</v>
      </c>
      <c r="Q58" s="230">
        <v>3142661577</v>
      </c>
      <c r="R58" s="231">
        <v>884839989</v>
      </c>
      <c r="S58" s="229">
        <f t="shared" si="2"/>
        <v>4027501566</v>
      </c>
      <c r="T58" s="220">
        <v>-207589249</v>
      </c>
      <c r="U58" s="226">
        <f t="shared" si="3"/>
        <v>4408779547</v>
      </c>
    </row>
    <row r="59" spans="1:21" ht="16">
      <c r="A59" s="234">
        <v>14111</v>
      </c>
      <c r="B59" s="234" t="s">
        <v>416</v>
      </c>
      <c r="C59" s="235"/>
      <c r="D59" s="235"/>
      <c r="E59" s="236"/>
      <c r="F59" s="235">
        <f t="shared" si="4"/>
        <v>0</v>
      </c>
      <c r="G59" s="235"/>
      <c r="H59" s="237">
        <v>0</v>
      </c>
      <c r="I59" s="222"/>
      <c r="K59" s="225">
        <f t="shared" si="6"/>
        <v>0</v>
      </c>
      <c r="L59" s="228">
        <f t="shared" si="8"/>
        <v>0</v>
      </c>
      <c r="N59" s="225">
        <f t="shared" si="0"/>
        <v>0</v>
      </c>
      <c r="P59" s="229">
        <f t="shared" si="1"/>
        <v>0</v>
      </c>
      <c r="Q59" s="230"/>
      <c r="R59" s="231"/>
      <c r="S59" s="229">
        <f t="shared" si="2"/>
        <v>0</v>
      </c>
      <c r="U59" s="226">
        <f t="shared" si="3"/>
        <v>0</v>
      </c>
    </row>
    <row r="60" spans="1:21" ht="16">
      <c r="A60" s="234">
        <v>14112</v>
      </c>
      <c r="B60" s="234" t="s">
        <v>417</v>
      </c>
      <c r="C60" s="235"/>
      <c r="D60" s="235"/>
      <c r="E60" s="236"/>
      <c r="F60" s="235">
        <f t="shared" si="4"/>
        <v>0</v>
      </c>
      <c r="G60" s="235"/>
      <c r="H60" s="237">
        <v>376032712</v>
      </c>
      <c r="I60" s="222"/>
      <c r="K60" s="225">
        <f t="shared" si="6"/>
        <v>0</v>
      </c>
      <c r="L60" s="228">
        <f t="shared" si="8"/>
        <v>0</v>
      </c>
      <c r="N60" s="225">
        <f t="shared" si="0"/>
        <v>0</v>
      </c>
      <c r="P60" s="229">
        <f t="shared" si="1"/>
        <v>376032712</v>
      </c>
      <c r="Q60" s="230"/>
      <c r="R60" s="231"/>
      <c r="S60" s="229">
        <f t="shared" si="2"/>
        <v>0</v>
      </c>
      <c r="U60" s="226">
        <f t="shared" si="3"/>
        <v>376032712</v>
      </c>
    </row>
    <row r="61" spans="1:21" ht="16">
      <c r="A61" s="234">
        <v>14113</v>
      </c>
      <c r="B61" s="234" t="s">
        <v>418</v>
      </c>
      <c r="C61" s="235"/>
      <c r="D61" s="235"/>
      <c r="E61" s="236"/>
      <c r="F61" s="235">
        <f t="shared" si="4"/>
        <v>0</v>
      </c>
      <c r="G61" s="235"/>
      <c r="H61" s="237">
        <v>0</v>
      </c>
      <c r="I61" s="222"/>
      <c r="K61" s="225">
        <f t="shared" si="6"/>
        <v>0</v>
      </c>
      <c r="L61" s="228">
        <f t="shared" si="8"/>
        <v>0</v>
      </c>
      <c r="N61" s="225">
        <f t="shared" si="0"/>
        <v>0</v>
      </c>
      <c r="P61" s="229">
        <f t="shared" si="1"/>
        <v>0</v>
      </c>
      <c r="Q61" s="230"/>
      <c r="R61" s="231"/>
      <c r="S61" s="229">
        <f t="shared" si="2"/>
        <v>0</v>
      </c>
      <c r="T61" s="220">
        <v>-207589249</v>
      </c>
      <c r="U61" s="226">
        <f t="shared" si="3"/>
        <v>-207589249</v>
      </c>
    </row>
    <row r="62" spans="1:21" ht="16">
      <c r="A62" s="234">
        <v>1412</v>
      </c>
      <c r="B62" s="234" t="s">
        <v>419</v>
      </c>
      <c r="C62" s="235">
        <v>35354698774</v>
      </c>
      <c r="D62" s="235"/>
      <c r="E62" s="236"/>
      <c r="F62" s="235">
        <f t="shared" si="4"/>
        <v>35354698774</v>
      </c>
      <c r="G62" s="235"/>
      <c r="H62" s="237">
        <v>18229154</v>
      </c>
      <c r="I62" s="222">
        <v>68647500</v>
      </c>
      <c r="K62" s="225">
        <f t="shared" si="6"/>
        <v>68647500</v>
      </c>
      <c r="L62" s="228">
        <f t="shared" si="8"/>
        <v>35354698774</v>
      </c>
      <c r="N62" s="225">
        <f t="shared" si="0"/>
        <v>35354698774</v>
      </c>
      <c r="P62" s="229">
        <f t="shared" si="1"/>
        <v>35372927928</v>
      </c>
      <c r="Q62" s="230">
        <v>1277480593</v>
      </c>
      <c r="R62" s="231">
        <v>815386667</v>
      </c>
      <c r="S62" s="229">
        <f t="shared" si="2"/>
        <v>2092867260</v>
      </c>
      <c r="U62" s="226">
        <f t="shared" si="3"/>
        <v>37534442688</v>
      </c>
    </row>
    <row r="63" spans="1:21" ht="16">
      <c r="A63" s="234">
        <v>1413</v>
      </c>
      <c r="B63" s="234" t="s">
        <v>420</v>
      </c>
      <c r="C63" s="238">
        <v>0</v>
      </c>
      <c r="D63" s="238"/>
      <c r="E63" s="239"/>
      <c r="F63" s="238">
        <f t="shared" si="4"/>
        <v>0</v>
      </c>
      <c r="G63" s="238"/>
      <c r="H63" s="240">
        <v>0</v>
      </c>
      <c r="I63" s="222">
        <v>0</v>
      </c>
      <c r="K63" s="225">
        <f t="shared" si="6"/>
        <v>0</v>
      </c>
      <c r="L63" s="228">
        <f t="shared" si="8"/>
        <v>0</v>
      </c>
      <c r="N63" s="225">
        <f t="shared" si="0"/>
        <v>0</v>
      </c>
      <c r="P63" s="229">
        <f t="shared" si="1"/>
        <v>0</v>
      </c>
      <c r="Q63" s="230">
        <v>0</v>
      </c>
      <c r="R63" s="231">
        <v>0</v>
      </c>
      <c r="S63" s="229">
        <f t="shared" si="2"/>
        <v>0</v>
      </c>
      <c r="U63" s="226">
        <f t="shared" si="3"/>
        <v>0</v>
      </c>
    </row>
    <row r="64" spans="1:21" ht="16">
      <c r="A64" s="234">
        <v>1414</v>
      </c>
      <c r="B64" s="234" t="s">
        <v>421</v>
      </c>
      <c r="C64" s="235">
        <v>0</v>
      </c>
      <c r="D64" s="235"/>
      <c r="E64" s="236"/>
      <c r="F64" s="235">
        <f t="shared" si="4"/>
        <v>0</v>
      </c>
      <c r="G64" s="235"/>
      <c r="H64" s="237">
        <v>0</v>
      </c>
      <c r="I64" s="222">
        <v>0</v>
      </c>
      <c r="K64" s="225">
        <f t="shared" si="6"/>
        <v>0</v>
      </c>
      <c r="L64" s="228">
        <f t="shared" si="8"/>
        <v>0</v>
      </c>
      <c r="N64" s="225">
        <f t="shared" si="0"/>
        <v>0</v>
      </c>
      <c r="P64" s="229">
        <f t="shared" si="1"/>
        <v>0</v>
      </c>
      <c r="Q64" s="230">
        <v>0</v>
      </c>
      <c r="R64" s="231">
        <v>0</v>
      </c>
      <c r="S64" s="229">
        <f t="shared" si="2"/>
        <v>0</v>
      </c>
      <c r="U64" s="226">
        <f t="shared" si="3"/>
        <v>0</v>
      </c>
    </row>
    <row r="65" spans="1:21" ht="16">
      <c r="A65" s="234">
        <v>1415</v>
      </c>
      <c r="B65" s="234" t="s">
        <v>422</v>
      </c>
      <c r="C65" s="235">
        <v>64854418657</v>
      </c>
      <c r="D65" s="235"/>
      <c r="E65" s="236"/>
      <c r="F65" s="235">
        <f t="shared" si="4"/>
        <v>64854418657</v>
      </c>
      <c r="G65" s="235"/>
      <c r="H65" s="237">
        <v>1943000</v>
      </c>
      <c r="I65" s="222">
        <v>0</v>
      </c>
      <c r="K65" s="225">
        <f t="shared" si="6"/>
        <v>0</v>
      </c>
      <c r="L65" s="228">
        <f t="shared" si="8"/>
        <v>64854418657</v>
      </c>
      <c r="N65" s="225">
        <f t="shared" si="0"/>
        <v>64854418657</v>
      </c>
      <c r="P65" s="229">
        <f t="shared" si="1"/>
        <v>64856361657</v>
      </c>
      <c r="Q65" s="230">
        <v>0</v>
      </c>
      <c r="R65" s="231">
        <v>0</v>
      </c>
      <c r="S65" s="229">
        <f t="shared" si="2"/>
        <v>0</v>
      </c>
      <c r="U65" s="226">
        <f t="shared" si="3"/>
        <v>64856361657</v>
      </c>
    </row>
    <row r="66" spans="1:21" ht="16">
      <c r="A66" s="234">
        <v>1416</v>
      </c>
      <c r="B66" s="234" t="s">
        <v>423</v>
      </c>
      <c r="C66" s="235"/>
      <c r="D66" s="235"/>
      <c r="E66" s="236"/>
      <c r="F66" s="235">
        <f t="shared" si="4"/>
        <v>0</v>
      </c>
      <c r="G66" s="235"/>
      <c r="H66" s="237">
        <v>0</v>
      </c>
      <c r="I66" s="222"/>
      <c r="K66" s="225">
        <f t="shared" si="6"/>
        <v>0</v>
      </c>
      <c r="L66" s="228">
        <f t="shared" si="8"/>
        <v>0</v>
      </c>
      <c r="N66" s="225">
        <f t="shared" si="0"/>
        <v>0</v>
      </c>
      <c r="P66" s="229">
        <f t="shared" si="1"/>
        <v>0</v>
      </c>
      <c r="Q66" s="230"/>
      <c r="R66" s="231"/>
      <c r="S66" s="229">
        <f t="shared" si="2"/>
        <v>0</v>
      </c>
      <c r="U66" s="226">
        <f t="shared" si="3"/>
        <v>0</v>
      </c>
    </row>
    <row r="67" spans="1:21" ht="16">
      <c r="A67" s="233">
        <v>142</v>
      </c>
      <c r="B67" s="233" t="s">
        <v>424</v>
      </c>
      <c r="C67" s="235">
        <v>10996644212</v>
      </c>
      <c r="D67" s="235"/>
      <c r="E67" s="236"/>
      <c r="F67" s="235">
        <f t="shared" si="4"/>
        <v>10996644212</v>
      </c>
      <c r="G67" s="235"/>
      <c r="H67" s="237">
        <v>53785457175.739998</v>
      </c>
      <c r="I67" s="222">
        <v>10447090820</v>
      </c>
      <c r="K67" s="225">
        <f t="shared" si="6"/>
        <v>10447090820</v>
      </c>
      <c r="L67" s="228">
        <f t="shared" si="8"/>
        <v>10996644212</v>
      </c>
      <c r="N67" s="225">
        <f t="shared" ref="N67:N83" si="9">+L67+M67</f>
        <v>10996644212</v>
      </c>
      <c r="P67" s="229">
        <f t="shared" ref="P67:P130" si="10">+H67+N67+O67</f>
        <v>64782101387.739998</v>
      </c>
      <c r="Q67" s="230">
        <v>0</v>
      </c>
      <c r="R67" s="231">
        <v>966343223</v>
      </c>
      <c r="S67" s="229">
        <f t="shared" ref="S67:S129" si="11">+Q67+R67</f>
        <v>966343223</v>
      </c>
      <c r="U67" s="226">
        <f t="shared" ref="U67:U130" si="12">+K67+P67+S67+T67</f>
        <v>76195535430.73999</v>
      </c>
    </row>
    <row r="68" spans="1:21" ht="16">
      <c r="A68" s="234">
        <v>1421</v>
      </c>
      <c r="B68" s="234" t="s">
        <v>425</v>
      </c>
      <c r="C68" s="238">
        <v>0</v>
      </c>
      <c r="D68" s="238"/>
      <c r="E68" s="239"/>
      <c r="F68" s="238">
        <f t="shared" ref="F68:F129" si="13">+C68+D68+E68</f>
        <v>0</v>
      </c>
      <c r="G68" s="238"/>
      <c r="H68" s="240">
        <v>0</v>
      </c>
      <c r="I68" s="222">
        <v>1629801</v>
      </c>
      <c r="K68" s="225">
        <f t="shared" ref="K68:K131" si="14">+I68+J68</f>
        <v>1629801</v>
      </c>
      <c r="L68" s="228">
        <f t="shared" si="8"/>
        <v>0</v>
      </c>
      <c r="N68" s="225">
        <f t="shared" si="9"/>
        <v>0</v>
      </c>
      <c r="P68" s="229">
        <f t="shared" si="10"/>
        <v>0</v>
      </c>
      <c r="Q68" s="230">
        <v>0</v>
      </c>
      <c r="R68" s="231">
        <v>0</v>
      </c>
      <c r="S68" s="229">
        <f t="shared" si="11"/>
        <v>0</v>
      </c>
      <c r="U68" s="226">
        <f t="shared" si="12"/>
        <v>1629801</v>
      </c>
    </row>
    <row r="69" spans="1:21" ht="16">
      <c r="A69" s="234">
        <v>1422</v>
      </c>
      <c r="B69" s="234" t="s">
        <v>426</v>
      </c>
      <c r="C69" s="238">
        <v>10881814329</v>
      </c>
      <c r="D69" s="238"/>
      <c r="E69" s="239"/>
      <c r="F69" s="238">
        <f t="shared" si="13"/>
        <v>10881814329</v>
      </c>
      <c r="G69" s="238"/>
      <c r="H69" s="240">
        <v>0</v>
      </c>
      <c r="I69" s="222">
        <v>2976824440</v>
      </c>
      <c r="K69" s="225">
        <f t="shared" si="14"/>
        <v>2976824440</v>
      </c>
      <c r="L69" s="228">
        <f t="shared" si="8"/>
        <v>10881814329</v>
      </c>
      <c r="N69" s="225">
        <f t="shared" si="9"/>
        <v>10881814329</v>
      </c>
      <c r="P69" s="229">
        <f t="shared" si="10"/>
        <v>10881814329</v>
      </c>
      <c r="Q69" s="230">
        <v>0</v>
      </c>
      <c r="R69" s="231">
        <v>0</v>
      </c>
      <c r="S69" s="229">
        <f t="shared" si="11"/>
        <v>0</v>
      </c>
      <c r="U69" s="226">
        <f t="shared" si="12"/>
        <v>13858638769</v>
      </c>
    </row>
    <row r="70" spans="1:21" ht="16">
      <c r="A70" s="234">
        <v>1423</v>
      </c>
      <c r="B70" s="234" t="s">
        <v>427</v>
      </c>
      <c r="C70" s="235">
        <v>114829883</v>
      </c>
      <c r="D70" s="235"/>
      <c r="E70" s="236"/>
      <c r="F70" s="235">
        <f t="shared" si="13"/>
        <v>114829883</v>
      </c>
      <c r="G70" s="235"/>
      <c r="H70" s="237">
        <v>53785457175.739998</v>
      </c>
      <c r="I70" s="222">
        <v>7468636579</v>
      </c>
      <c r="K70" s="225">
        <f t="shared" si="14"/>
        <v>7468636579</v>
      </c>
      <c r="L70" s="228">
        <f t="shared" si="8"/>
        <v>114829883</v>
      </c>
      <c r="N70" s="225">
        <f t="shared" si="9"/>
        <v>114829883</v>
      </c>
      <c r="P70" s="229">
        <f t="shared" si="10"/>
        <v>53900287058.739998</v>
      </c>
      <c r="Q70" s="230">
        <v>0</v>
      </c>
      <c r="R70" s="231">
        <v>966343223</v>
      </c>
      <c r="S70" s="229">
        <f t="shared" si="11"/>
        <v>966343223</v>
      </c>
      <c r="U70" s="226">
        <f t="shared" si="12"/>
        <v>62335266860.739998</v>
      </c>
    </row>
    <row r="71" spans="1:21" ht="16">
      <c r="A71" s="234">
        <v>1424</v>
      </c>
      <c r="B71" s="234" t="s">
        <v>428</v>
      </c>
      <c r="C71" s="235">
        <v>0</v>
      </c>
      <c r="D71" s="235"/>
      <c r="E71" s="236"/>
      <c r="F71" s="235">
        <f t="shared" si="13"/>
        <v>0</v>
      </c>
      <c r="G71" s="235"/>
      <c r="H71" s="237">
        <v>0</v>
      </c>
      <c r="I71" s="222">
        <v>0</v>
      </c>
      <c r="K71" s="225">
        <f t="shared" si="14"/>
        <v>0</v>
      </c>
      <c r="L71" s="228">
        <f t="shared" si="8"/>
        <v>0</v>
      </c>
      <c r="N71" s="225">
        <f t="shared" si="9"/>
        <v>0</v>
      </c>
      <c r="P71" s="229">
        <f t="shared" si="10"/>
        <v>0</v>
      </c>
      <c r="Q71" s="230">
        <v>0</v>
      </c>
      <c r="R71" s="231">
        <v>0</v>
      </c>
      <c r="S71" s="229">
        <f t="shared" si="11"/>
        <v>0</v>
      </c>
      <c r="U71" s="226">
        <f t="shared" si="12"/>
        <v>0</v>
      </c>
    </row>
    <row r="72" spans="1:21" ht="16">
      <c r="A72" s="233">
        <v>143</v>
      </c>
      <c r="B72" s="233" t="s">
        <v>429</v>
      </c>
      <c r="C72" s="238">
        <v>0</v>
      </c>
      <c r="D72" s="238"/>
      <c r="E72" s="239"/>
      <c r="F72" s="238">
        <f t="shared" si="13"/>
        <v>0</v>
      </c>
      <c r="G72" s="238"/>
      <c r="H72" s="240">
        <v>0</v>
      </c>
      <c r="I72" s="222">
        <v>1774863361</v>
      </c>
      <c r="K72" s="225">
        <f t="shared" si="14"/>
        <v>1774863361</v>
      </c>
      <c r="L72" s="228">
        <f t="shared" si="8"/>
        <v>0</v>
      </c>
      <c r="N72" s="225">
        <f t="shared" si="9"/>
        <v>0</v>
      </c>
      <c r="P72" s="229">
        <f t="shared" si="10"/>
        <v>0</v>
      </c>
      <c r="Q72" s="230">
        <v>794990337</v>
      </c>
      <c r="R72" s="231">
        <v>2035998305</v>
      </c>
      <c r="S72" s="229">
        <f t="shared" si="11"/>
        <v>2830988642</v>
      </c>
      <c r="U72" s="226">
        <f t="shared" si="12"/>
        <v>4605852003</v>
      </c>
    </row>
    <row r="73" spans="1:21" ht="16">
      <c r="A73" s="233">
        <v>144</v>
      </c>
      <c r="B73" s="233" t="s">
        <v>430</v>
      </c>
      <c r="C73" s="245">
        <v>0</v>
      </c>
      <c r="D73" s="245"/>
      <c r="E73" s="246"/>
      <c r="F73" s="245">
        <f t="shared" si="13"/>
        <v>0</v>
      </c>
      <c r="G73" s="245"/>
      <c r="H73" s="247">
        <v>500000</v>
      </c>
      <c r="I73" s="222">
        <v>386361035</v>
      </c>
      <c r="K73" s="225">
        <f t="shared" si="14"/>
        <v>386361035</v>
      </c>
      <c r="L73" s="228">
        <f t="shared" si="8"/>
        <v>0</v>
      </c>
      <c r="N73" s="225">
        <f t="shared" si="9"/>
        <v>0</v>
      </c>
      <c r="P73" s="229">
        <f t="shared" si="10"/>
        <v>500000</v>
      </c>
      <c r="Q73" s="230">
        <v>866659724</v>
      </c>
      <c r="R73" s="231">
        <v>0</v>
      </c>
      <c r="S73" s="229">
        <f t="shared" si="11"/>
        <v>866659724</v>
      </c>
      <c r="U73" s="226">
        <f t="shared" si="12"/>
        <v>1253520759</v>
      </c>
    </row>
    <row r="74" spans="1:21" ht="16">
      <c r="A74" s="234">
        <v>1441</v>
      </c>
      <c r="B74" s="234" t="s">
        <v>431</v>
      </c>
      <c r="C74" s="245">
        <v>0</v>
      </c>
      <c r="D74" s="245"/>
      <c r="E74" s="246"/>
      <c r="F74" s="245">
        <f t="shared" si="13"/>
        <v>0</v>
      </c>
      <c r="G74" s="245"/>
      <c r="H74" s="247">
        <v>500000</v>
      </c>
      <c r="I74" s="222">
        <v>311268958</v>
      </c>
      <c r="K74" s="225">
        <f t="shared" si="14"/>
        <v>311268958</v>
      </c>
      <c r="L74" s="228">
        <f t="shared" si="8"/>
        <v>0</v>
      </c>
      <c r="N74" s="225">
        <f t="shared" si="9"/>
        <v>0</v>
      </c>
      <c r="P74" s="229">
        <f t="shared" si="10"/>
        <v>500000</v>
      </c>
      <c r="Q74" s="230">
        <v>866659724</v>
      </c>
      <c r="R74" s="231">
        <v>0</v>
      </c>
      <c r="S74" s="229">
        <f t="shared" si="11"/>
        <v>866659724</v>
      </c>
      <c r="U74" s="226">
        <f t="shared" si="12"/>
        <v>1178428682</v>
      </c>
    </row>
    <row r="75" spans="1:21" ht="16">
      <c r="A75" s="234">
        <v>14411</v>
      </c>
      <c r="B75" s="234" t="s">
        <v>432</v>
      </c>
      <c r="C75" s="245">
        <v>0</v>
      </c>
      <c r="D75" s="245"/>
      <c r="E75" s="246"/>
      <c r="F75" s="245">
        <f t="shared" si="13"/>
        <v>0</v>
      </c>
      <c r="G75" s="245"/>
      <c r="H75" s="247">
        <v>0</v>
      </c>
      <c r="I75" s="222"/>
      <c r="K75" s="225">
        <f t="shared" si="14"/>
        <v>0</v>
      </c>
      <c r="L75" s="228">
        <f t="shared" si="8"/>
        <v>0</v>
      </c>
      <c r="N75" s="225">
        <f t="shared" si="9"/>
        <v>0</v>
      </c>
      <c r="P75" s="229">
        <f t="shared" si="10"/>
        <v>0</v>
      </c>
      <c r="Q75" s="230"/>
      <c r="R75" s="231"/>
      <c r="S75" s="229">
        <f t="shared" si="11"/>
        <v>0</v>
      </c>
      <c r="U75" s="226">
        <f t="shared" si="12"/>
        <v>0</v>
      </c>
    </row>
    <row r="76" spans="1:21" ht="16">
      <c r="A76" s="234">
        <v>14412</v>
      </c>
      <c r="B76" s="234" t="s">
        <v>433</v>
      </c>
      <c r="C76" s="245">
        <v>0</v>
      </c>
      <c r="D76" s="245"/>
      <c r="E76" s="246"/>
      <c r="F76" s="245">
        <f t="shared" si="13"/>
        <v>0</v>
      </c>
      <c r="G76" s="245"/>
      <c r="H76" s="247">
        <v>37260098</v>
      </c>
      <c r="I76" s="222"/>
      <c r="K76" s="225">
        <f t="shared" si="14"/>
        <v>0</v>
      </c>
      <c r="L76" s="228">
        <f t="shared" si="8"/>
        <v>0</v>
      </c>
      <c r="N76" s="225">
        <f t="shared" si="9"/>
        <v>0</v>
      </c>
      <c r="P76" s="229">
        <f t="shared" si="10"/>
        <v>37260098</v>
      </c>
      <c r="Q76" s="230"/>
      <c r="R76" s="231"/>
      <c r="S76" s="229">
        <f t="shared" si="11"/>
        <v>0</v>
      </c>
      <c r="U76" s="226">
        <f t="shared" si="12"/>
        <v>37260098</v>
      </c>
    </row>
    <row r="77" spans="1:21" ht="16">
      <c r="A77" s="234">
        <v>1442</v>
      </c>
      <c r="B77" s="234" t="s">
        <v>434</v>
      </c>
      <c r="C77" s="248">
        <v>0</v>
      </c>
      <c r="D77" s="248"/>
      <c r="E77" s="249"/>
      <c r="F77" s="248">
        <f t="shared" si="13"/>
        <v>0</v>
      </c>
      <c r="G77" s="248"/>
      <c r="H77" s="250">
        <v>0</v>
      </c>
      <c r="I77" s="222">
        <v>75092077</v>
      </c>
      <c r="K77" s="225">
        <f t="shared" si="14"/>
        <v>75092077</v>
      </c>
      <c r="L77" s="228">
        <f t="shared" si="8"/>
        <v>0</v>
      </c>
      <c r="N77" s="225">
        <f t="shared" si="9"/>
        <v>0</v>
      </c>
      <c r="P77" s="229">
        <f t="shared" si="10"/>
        <v>0</v>
      </c>
      <c r="Q77" s="230">
        <v>0</v>
      </c>
      <c r="R77" s="231">
        <v>0</v>
      </c>
      <c r="S77" s="229">
        <f t="shared" si="11"/>
        <v>0</v>
      </c>
      <c r="U77" s="226">
        <f t="shared" si="12"/>
        <v>75092077</v>
      </c>
    </row>
    <row r="78" spans="1:21" ht="16">
      <c r="A78" s="233">
        <v>145</v>
      </c>
      <c r="B78" s="233" t="s">
        <v>435</v>
      </c>
      <c r="C78" s="245">
        <v>42696685093</v>
      </c>
      <c r="D78" s="245"/>
      <c r="E78" s="246"/>
      <c r="F78" s="245">
        <f t="shared" si="13"/>
        <v>42696685093</v>
      </c>
      <c r="G78" s="245"/>
      <c r="H78" s="247">
        <v>0</v>
      </c>
      <c r="I78" s="222">
        <v>12468282367</v>
      </c>
      <c r="K78" s="225">
        <f t="shared" si="14"/>
        <v>12468282367</v>
      </c>
      <c r="L78" s="228">
        <f t="shared" si="8"/>
        <v>42696685093</v>
      </c>
      <c r="N78" s="225">
        <f t="shared" si="9"/>
        <v>42696685093</v>
      </c>
      <c r="P78" s="229">
        <f t="shared" si="10"/>
        <v>42696685093</v>
      </c>
      <c r="Q78" s="230"/>
      <c r="R78" s="231"/>
      <c r="S78" s="229">
        <f t="shared" si="11"/>
        <v>0</v>
      </c>
      <c r="U78" s="226">
        <f t="shared" si="12"/>
        <v>55164967460</v>
      </c>
    </row>
    <row r="79" spans="1:21" ht="16">
      <c r="A79" s="234">
        <v>1451</v>
      </c>
      <c r="B79" s="234" t="s">
        <v>436</v>
      </c>
      <c r="C79" s="248"/>
      <c r="D79" s="248"/>
      <c r="E79" s="249"/>
      <c r="F79" s="248">
        <f t="shared" si="13"/>
        <v>0</v>
      </c>
      <c r="G79" s="248"/>
      <c r="H79" s="250">
        <v>0</v>
      </c>
      <c r="I79" s="222"/>
      <c r="K79" s="225">
        <f t="shared" si="14"/>
        <v>0</v>
      </c>
      <c r="L79" s="228">
        <f t="shared" si="8"/>
        <v>0</v>
      </c>
      <c r="N79" s="225">
        <f t="shared" si="9"/>
        <v>0</v>
      </c>
      <c r="P79" s="229">
        <f t="shared" si="10"/>
        <v>0</v>
      </c>
      <c r="Q79" s="230"/>
      <c r="R79" s="231"/>
      <c r="S79" s="229">
        <f t="shared" si="11"/>
        <v>0</v>
      </c>
      <c r="U79" s="226">
        <f t="shared" si="12"/>
        <v>0</v>
      </c>
    </row>
    <row r="80" spans="1:21" ht="16">
      <c r="A80" s="234">
        <v>14511</v>
      </c>
      <c r="B80" s="234" t="s">
        <v>437</v>
      </c>
      <c r="C80" s="248"/>
      <c r="D80" s="248"/>
      <c r="E80" s="249"/>
      <c r="F80" s="248">
        <f t="shared" si="13"/>
        <v>0</v>
      </c>
      <c r="G80" s="248"/>
      <c r="H80" s="250">
        <v>0</v>
      </c>
      <c r="I80" s="222"/>
      <c r="K80" s="225">
        <f t="shared" si="14"/>
        <v>0</v>
      </c>
      <c r="L80" s="228">
        <f t="shared" si="8"/>
        <v>0</v>
      </c>
      <c r="N80" s="225">
        <f t="shared" si="9"/>
        <v>0</v>
      </c>
      <c r="P80" s="229">
        <f t="shared" si="10"/>
        <v>0</v>
      </c>
      <c r="Q80" s="230"/>
      <c r="R80" s="231"/>
      <c r="S80" s="229">
        <f t="shared" si="11"/>
        <v>0</v>
      </c>
      <c r="U80" s="226">
        <f t="shared" si="12"/>
        <v>0</v>
      </c>
    </row>
    <row r="81" spans="1:21" ht="16">
      <c r="A81" s="234">
        <v>14512</v>
      </c>
      <c r="B81" s="234" t="s">
        <v>438</v>
      </c>
      <c r="C81" s="245"/>
      <c r="D81" s="245"/>
      <c r="E81" s="246"/>
      <c r="F81" s="245">
        <f t="shared" si="13"/>
        <v>0</v>
      </c>
      <c r="G81" s="245"/>
      <c r="H81" s="247">
        <v>0</v>
      </c>
      <c r="I81" s="222"/>
      <c r="K81" s="225">
        <f t="shared" si="14"/>
        <v>0</v>
      </c>
      <c r="L81" s="228">
        <f t="shared" si="8"/>
        <v>0</v>
      </c>
      <c r="N81" s="225">
        <f t="shared" si="9"/>
        <v>0</v>
      </c>
      <c r="P81" s="229">
        <f t="shared" si="10"/>
        <v>0</v>
      </c>
      <c r="Q81" s="230"/>
      <c r="R81" s="231"/>
      <c r="S81" s="229">
        <f t="shared" si="11"/>
        <v>0</v>
      </c>
      <c r="U81" s="226">
        <f t="shared" si="12"/>
        <v>0</v>
      </c>
    </row>
    <row r="82" spans="1:21" ht="16">
      <c r="A82" s="234">
        <v>14513</v>
      </c>
      <c r="B82" s="234" t="s">
        <v>439</v>
      </c>
      <c r="C82" s="245"/>
      <c r="D82" s="245"/>
      <c r="E82" s="246"/>
      <c r="F82" s="245">
        <f t="shared" si="13"/>
        <v>0</v>
      </c>
      <c r="G82" s="245"/>
      <c r="H82" s="247">
        <v>0</v>
      </c>
      <c r="I82" s="222"/>
      <c r="K82" s="225">
        <f t="shared" si="14"/>
        <v>0</v>
      </c>
      <c r="L82" s="228">
        <f t="shared" si="8"/>
        <v>0</v>
      </c>
      <c r="N82" s="225">
        <f t="shared" si="9"/>
        <v>0</v>
      </c>
      <c r="P82" s="229">
        <f t="shared" si="10"/>
        <v>0</v>
      </c>
      <c r="Q82" s="230"/>
      <c r="R82" s="231"/>
      <c r="S82" s="229">
        <f t="shared" si="11"/>
        <v>0</v>
      </c>
      <c r="U82" s="226">
        <f t="shared" si="12"/>
        <v>0</v>
      </c>
    </row>
    <row r="83" spans="1:21" ht="16">
      <c r="A83" s="234">
        <v>1452</v>
      </c>
      <c r="B83" s="234" t="s">
        <v>440</v>
      </c>
      <c r="C83" s="245"/>
      <c r="D83" s="245"/>
      <c r="E83" s="246"/>
      <c r="F83" s="245">
        <f t="shared" si="13"/>
        <v>0</v>
      </c>
      <c r="G83" s="245"/>
      <c r="H83" s="247">
        <v>0</v>
      </c>
      <c r="I83" s="222"/>
      <c r="K83" s="225">
        <f t="shared" si="14"/>
        <v>0</v>
      </c>
      <c r="L83" s="228">
        <f t="shared" si="8"/>
        <v>0</v>
      </c>
      <c r="N83" s="225">
        <f t="shared" si="9"/>
        <v>0</v>
      </c>
      <c r="P83" s="229">
        <f t="shared" si="10"/>
        <v>0</v>
      </c>
      <c r="Q83" s="230"/>
      <c r="R83" s="231"/>
      <c r="S83" s="229">
        <f t="shared" si="11"/>
        <v>0</v>
      </c>
      <c r="U83" s="226">
        <f t="shared" si="12"/>
        <v>0</v>
      </c>
    </row>
    <row r="84" spans="1:21" ht="16">
      <c r="A84" s="221">
        <v>2</v>
      </c>
      <c r="B84" s="221" t="s">
        <v>441</v>
      </c>
      <c r="C84" s="248">
        <v>2686206213302.9854</v>
      </c>
      <c r="D84" s="248">
        <f>+D90+D114</f>
        <v>397016339803</v>
      </c>
      <c r="E84" s="249">
        <f>+E107</f>
        <v>-435736466703</v>
      </c>
      <c r="F84" s="248">
        <f>+C84+D84+E84</f>
        <v>2647486086402.9854</v>
      </c>
      <c r="G84" s="248"/>
      <c r="H84" s="250">
        <v>507597810784.45996</v>
      </c>
      <c r="I84" s="222">
        <v>95561789253</v>
      </c>
      <c r="K84" s="225">
        <f t="shared" si="14"/>
        <v>95561789253</v>
      </c>
      <c r="L84" s="228">
        <f>+L85+L90+L91+L92+L96+L100+L110+L114</f>
        <v>2728354885496.9854</v>
      </c>
      <c r="M84" s="227">
        <f>+M107</f>
        <v>34893886130</v>
      </c>
      <c r="N84" s="225">
        <f>+L84+M84</f>
        <v>2763248771626.9854</v>
      </c>
      <c r="O84" s="228">
        <f>+O107</f>
        <v>-511760255726.27002</v>
      </c>
      <c r="P84" s="229">
        <f t="shared" si="10"/>
        <v>2759086326685.1753</v>
      </c>
      <c r="Q84" s="230">
        <v>131368447409</v>
      </c>
      <c r="R84" s="231">
        <v>29379690462</v>
      </c>
      <c r="S84" s="229">
        <f t="shared" si="11"/>
        <v>160748137871</v>
      </c>
      <c r="T84" s="220">
        <f>+T92+T100</f>
        <v>-135481432919.72998</v>
      </c>
      <c r="U84" s="226">
        <f t="shared" si="12"/>
        <v>2879914820889.4453</v>
      </c>
    </row>
    <row r="85" spans="1:21" ht="16">
      <c r="A85" s="232">
        <v>21</v>
      </c>
      <c r="B85" s="232" t="s">
        <v>442</v>
      </c>
      <c r="C85" s="248">
        <v>733266928672</v>
      </c>
      <c r="D85" s="248"/>
      <c r="E85" s="249"/>
      <c r="F85" s="248">
        <f t="shared" si="13"/>
        <v>733266928672</v>
      </c>
      <c r="G85" s="248"/>
      <c r="H85" s="250">
        <v>130506505817</v>
      </c>
      <c r="I85" s="222">
        <v>38912199069</v>
      </c>
      <c r="K85" s="225">
        <f t="shared" si="14"/>
        <v>38912199069</v>
      </c>
      <c r="L85" s="228">
        <f t="shared" si="8"/>
        <v>733266928672</v>
      </c>
      <c r="N85" s="225">
        <f t="shared" ref="N85:N148" si="15">+L85+M85</f>
        <v>733266928672</v>
      </c>
      <c r="P85" s="229">
        <f t="shared" si="10"/>
        <v>863773434489</v>
      </c>
      <c r="Q85" s="230">
        <v>6659587981</v>
      </c>
      <c r="R85" s="231">
        <v>4323536234</v>
      </c>
      <c r="S85" s="229">
        <f t="shared" si="11"/>
        <v>10983124215</v>
      </c>
      <c r="U85" s="226">
        <f t="shared" si="12"/>
        <v>913668757773</v>
      </c>
    </row>
    <row r="86" spans="1:21" ht="16">
      <c r="A86" s="233">
        <v>211</v>
      </c>
      <c r="B86" s="233" t="s">
        <v>443</v>
      </c>
      <c r="C86" s="248">
        <v>732573103839</v>
      </c>
      <c r="D86" s="248"/>
      <c r="E86" s="249"/>
      <c r="F86" s="248">
        <f t="shared" si="13"/>
        <v>732573103839</v>
      </c>
      <c r="G86" s="248"/>
      <c r="H86" s="250">
        <v>124816630923</v>
      </c>
      <c r="I86" s="222">
        <v>36539148495</v>
      </c>
      <c r="K86" s="225">
        <f t="shared" si="14"/>
        <v>36539148495</v>
      </c>
      <c r="L86" s="228">
        <f t="shared" si="8"/>
        <v>732573103839</v>
      </c>
      <c r="N86" s="225">
        <f t="shared" si="15"/>
        <v>732573103839</v>
      </c>
      <c r="P86" s="229">
        <f t="shared" si="10"/>
        <v>857389734762</v>
      </c>
      <c r="Q86" s="230">
        <v>6659587981</v>
      </c>
      <c r="R86" s="231">
        <v>4061295607</v>
      </c>
      <c r="S86" s="229">
        <f t="shared" si="11"/>
        <v>10720883588</v>
      </c>
      <c r="U86" s="226">
        <f t="shared" si="12"/>
        <v>904649766845</v>
      </c>
    </row>
    <row r="87" spans="1:21" ht="16">
      <c r="A87" s="233">
        <v>212</v>
      </c>
      <c r="B87" s="233" t="s">
        <v>444</v>
      </c>
      <c r="C87" s="245">
        <v>693824833</v>
      </c>
      <c r="D87" s="245"/>
      <c r="E87" s="246"/>
      <c r="F87" s="245">
        <f t="shared" si="13"/>
        <v>693824833</v>
      </c>
      <c r="G87" s="245"/>
      <c r="H87" s="247">
        <v>5689874894</v>
      </c>
      <c r="I87" s="222">
        <v>2373050574</v>
      </c>
      <c r="K87" s="225">
        <f t="shared" si="14"/>
        <v>2373050574</v>
      </c>
      <c r="L87" s="228">
        <f t="shared" si="8"/>
        <v>693824833</v>
      </c>
      <c r="N87" s="225">
        <f t="shared" si="15"/>
        <v>693824833</v>
      </c>
      <c r="P87" s="229">
        <f t="shared" si="10"/>
        <v>6383699727</v>
      </c>
      <c r="Q87" s="230">
        <v>0</v>
      </c>
      <c r="R87" s="231">
        <v>262240627</v>
      </c>
      <c r="S87" s="229">
        <f t="shared" si="11"/>
        <v>262240627</v>
      </c>
      <c r="U87" s="226">
        <f t="shared" si="12"/>
        <v>9018990928</v>
      </c>
    </row>
    <row r="88" spans="1:21" ht="16">
      <c r="A88" s="234">
        <v>2121</v>
      </c>
      <c r="B88" s="234" t="s">
        <v>445</v>
      </c>
      <c r="C88" s="245">
        <v>693824833</v>
      </c>
      <c r="D88" s="245"/>
      <c r="E88" s="246"/>
      <c r="F88" s="245">
        <f t="shared" si="13"/>
        <v>693824833</v>
      </c>
      <c r="G88" s="245"/>
      <c r="H88" s="247">
        <v>0</v>
      </c>
      <c r="I88" s="222">
        <v>0</v>
      </c>
      <c r="K88" s="225">
        <f t="shared" si="14"/>
        <v>0</v>
      </c>
      <c r="L88" s="228">
        <f t="shared" si="8"/>
        <v>693824833</v>
      </c>
      <c r="N88" s="225">
        <f t="shared" si="15"/>
        <v>693824833</v>
      </c>
      <c r="P88" s="229">
        <f t="shared" si="10"/>
        <v>693824833</v>
      </c>
      <c r="Q88" s="230">
        <v>0</v>
      </c>
      <c r="R88" s="231">
        <v>262240627</v>
      </c>
      <c r="S88" s="229">
        <f t="shared" si="11"/>
        <v>262240627</v>
      </c>
      <c r="U88" s="226">
        <f t="shared" si="12"/>
        <v>956065460</v>
      </c>
    </row>
    <row r="89" spans="1:21" ht="16">
      <c r="A89" s="234">
        <v>2122</v>
      </c>
      <c r="B89" s="234" t="s">
        <v>446</v>
      </c>
      <c r="C89" s="248">
        <v>0</v>
      </c>
      <c r="D89" s="248"/>
      <c r="E89" s="249"/>
      <c r="F89" s="248">
        <f t="shared" si="13"/>
        <v>0</v>
      </c>
      <c r="G89" s="248"/>
      <c r="H89" s="250">
        <v>0</v>
      </c>
      <c r="I89" s="222">
        <v>0</v>
      </c>
      <c r="K89" s="225">
        <f t="shared" si="14"/>
        <v>0</v>
      </c>
      <c r="L89" s="228">
        <f t="shared" si="8"/>
        <v>0</v>
      </c>
      <c r="N89" s="225">
        <f t="shared" si="15"/>
        <v>0</v>
      </c>
      <c r="P89" s="229">
        <f t="shared" si="10"/>
        <v>0</v>
      </c>
      <c r="Q89" s="230">
        <v>0</v>
      </c>
      <c r="R89" s="231">
        <v>0</v>
      </c>
      <c r="S89" s="229">
        <f t="shared" si="11"/>
        <v>0</v>
      </c>
      <c r="U89" s="226">
        <f t="shared" si="12"/>
        <v>0</v>
      </c>
    </row>
    <row r="90" spans="1:21" ht="16">
      <c r="A90" s="232">
        <v>22</v>
      </c>
      <c r="B90" s="232" t="s">
        <v>447</v>
      </c>
      <c r="C90" s="248">
        <v>281111302854</v>
      </c>
      <c r="D90" s="248">
        <v>312428280803</v>
      </c>
      <c r="E90" s="249"/>
      <c r="F90" s="248">
        <f t="shared" si="13"/>
        <v>593539583657</v>
      </c>
      <c r="G90" s="248"/>
      <c r="H90" s="250">
        <v>294141513686</v>
      </c>
      <c r="I90" s="222">
        <v>36040936889</v>
      </c>
      <c r="K90" s="225">
        <f t="shared" si="14"/>
        <v>36040936889</v>
      </c>
      <c r="L90" s="228">
        <f t="shared" si="8"/>
        <v>593539583657</v>
      </c>
      <c r="N90" s="225">
        <f t="shared" si="15"/>
        <v>593539583657</v>
      </c>
      <c r="P90" s="229">
        <f t="shared" si="10"/>
        <v>887681097343</v>
      </c>
      <c r="Q90" s="230">
        <v>15129455665</v>
      </c>
      <c r="R90" s="231">
        <v>819548543</v>
      </c>
      <c r="S90" s="229">
        <f t="shared" si="11"/>
        <v>15949004208</v>
      </c>
      <c r="U90" s="226">
        <f t="shared" si="12"/>
        <v>939671038440</v>
      </c>
    </row>
    <row r="91" spans="1:21" ht="16">
      <c r="A91" s="232">
        <v>23</v>
      </c>
      <c r="B91" s="232" t="s">
        <v>448</v>
      </c>
      <c r="C91" s="245">
        <v>0</v>
      </c>
      <c r="D91" s="245"/>
      <c r="E91" s="246"/>
      <c r="F91" s="245">
        <f t="shared" si="13"/>
        <v>0</v>
      </c>
      <c r="G91" s="245"/>
      <c r="H91" s="247">
        <v>0</v>
      </c>
      <c r="I91" s="222">
        <v>0</v>
      </c>
      <c r="K91" s="225">
        <f t="shared" si="14"/>
        <v>0</v>
      </c>
      <c r="L91" s="228">
        <f t="shared" si="8"/>
        <v>0</v>
      </c>
      <c r="N91" s="225">
        <f t="shared" si="15"/>
        <v>0</v>
      </c>
      <c r="P91" s="229">
        <f t="shared" si="10"/>
        <v>0</v>
      </c>
      <c r="Q91" s="230">
        <v>0</v>
      </c>
      <c r="R91" s="231">
        <v>0</v>
      </c>
      <c r="S91" s="229">
        <f t="shared" si="11"/>
        <v>0</v>
      </c>
      <c r="U91" s="226">
        <f t="shared" si="12"/>
        <v>0</v>
      </c>
    </row>
    <row r="92" spans="1:21" ht="16">
      <c r="A92" s="232">
        <v>24</v>
      </c>
      <c r="B92" s="232" t="s">
        <v>449</v>
      </c>
      <c r="C92" s="248">
        <v>271182106092.98511</v>
      </c>
      <c r="D92" s="248"/>
      <c r="E92" s="249"/>
      <c r="F92" s="248">
        <f t="shared" si="13"/>
        <v>271182106092.98511</v>
      </c>
      <c r="G92" s="248"/>
      <c r="H92" s="250">
        <v>6627098277</v>
      </c>
      <c r="I92" s="222">
        <v>325192174</v>
      </c>
      <c r="K92" s="225">
        <f t="shared" si="14"/>
        <v>325192174</v>
      </c>
      <c r="L92" s="228">
        <f t="shared" si="8"/>
        <v>271182106092.98511</v>
      </c>
      <c r="N92" s="225">
        <f t="shared" si="15"/>
        <v>271182106092.98511</v>
      </c>
      <c r="P92" s="229">
        <f t="shared" si="10"/>
        <v>277809204369.98511</v>
      </c>
      <c r="Q92" s="230">
        <v>1291146190</v>
      </c>
      <c r="R92" s="231">
        <v>0</v>
      </c>
      <c r="S92" s="229">
        <f t="shared" si="11"/>
        <v>1291146190</v>
      </c>
      <c r="T92" s="220">
        <f>T95</f>
        <v>-207589249</v>
      </c>
      <c r="U92" s="226">
        <f t="shared" si="12"/>
        <v>279217953484.98511</v>
      </c>
    </row>
    <row r="93" spans="1:21" ht="16">
      <c r="A93" s="233">
        <v>241</v>
      </c>
      <c r="B93" s="233" t="s">
        <v>450</v>
      </c>
      <c r="C93" s="248">
        <v>232894700090.31421</v>
      </c>
      <c r="D93" s="248"/>
      <c r="E93" s="249"/>
      <c r="F93" s="248">
        <f t="shared" si="13"/>
        <v>232894700090.31421</v>
      </c>
      <c r="G93" s="248"/>
      <c r="H93" s="250">
        <v>0</v>
      </c>
      <c r="I93" s="222">
        <v>287894583</v>
      </c>
      <c r="K93" s="225">
        <f t="shared" si="14"/>
        <v>287894583</v>
      </c>
      <c r="L93" s="228">
        <f t="shared" si="8"/>
        <v>232894700090.31421</v>
      </c>
      <c r="N93" s="225">
        <f t="shared" si="15"/>
        <v>232894700090.31421</v>
      </c>
      <c r="P93" s="229">
        <f t="shared" si="10"/>
        <v>232894700090.31421</v>
      </c>
      <c r="Q93" s="230">
        <v>0</v>
      </c>
      <c r="R93" s="231">
        <v>0</v>
      </c>
      <c r="S93" s="229">
        <f t="shared" si="11"/>
        <v>0</v>
      </c>
      <c r="U93" s="226">
        <f t="shared" si="12"/>
        <v>233182594673.31421</v>
      </c>
    </row>
    <row r="94" spans="1:21" ht="16">
      <c r="A94" s="233">
        <v>242</v>
      </c>
      <c r="B94" s="233" t="s">
        <v>451</v>
      </c>
      <c r="C94" s="245">
        <v>38040221398.670906</v>
      </c>
      <c r="D94" s="245"/>
      <c r="E94" s="246"/>
      <c r="F94" s="245">
        <f t="shared" si="13"/>
        <v>38040221398.670906</v>
      </c>
      <c r="G94" s="245"/>
      <c r="H94" s="247">
        <v>6627098277</v>
      </c>
      <c r="I94" s="222">
        <v>37297591</v>
      </c>
      <c r="K94" s="225">
        <f t="shared" si="14"/>
        <v>37297591</v>
      </c>
      <c r="L94" s="228">
        <f t="shared" si="8"/>
        <v>38040221398.670906</v>
      </c>
      <c r="N94" s="225">
        <f t="shared" si="15"/>
        <v>38040221398.670906</v>
      </c>
      <c r="P94" s="229">
        <f t="shared" si="10"/>
        <v>44667319675.670906</v>
      </c>
      <c r="Q94" s="230">
        <v>1291146190</v>
      </c>
      <c r="R94" s="231">
        <v>0</v>
      </c>
      <c r="S94" s="229">
        <f t="shared" si="11"/>
        <v>1291146190</v>
      </c>
      <c r="U94" s="226">
        <f t="shared" si="12"/>
        <v>45995763456.670906</v>
      </c>
    </row>
    <row r="95" spans="1:21" ht="16">
      <c r="A95" s="233">
        <v>243</v>
      </c>
      <c r="B95" s="233" t="s">
        <v>452</v>
      </c>
      <c r="C95" s="245">
        <v>247184604</v>
      </c>
      <c r="D95" s="245"/>
      <c r="E95" s="246"/>
      <c r="F95" s="245">
        <f t="shared" si="13"/>
        <v>247184604</v>
      </c>
      <c r="G95" s="245"/>
      <c r="H95" s="247">
        <v>0</v>
      </c>
      <c r="I95" s="222">
        <v>0</v>
      </c>
      <c r="K95" s="225">
        <f t="shared" si="14"/>
        <v>0</v>
      </c>
      <c r="L95" s="228">
        <f t="shared" si="8"/>
        <v>247184604</v>
      </c>
      <c r="N95" s="225">
        <f t="shared" si="15"/>
        <v>247184604</v>
      </c>
      <c r="P95" s="229">
        <f t="shared" si="10"/>
        <v>247184604</v>
      </c>
      <c r="Q95" s="230">
        <v>0</v>
      </c>
      <c r="R95" s="231">
        <v>0</v>
      </c>
      <c r="S95" s="229">
        <f t="shared" si="11"/>
        <v>0</v>
      </c>
      <c r="T95" s="220">
        <f>-74363624-133225625</f>
        <v>-207589249</v>
      </c>
      <c r="U95" s="226">
        <f t="shared" si="12"/>
        <v>39595355</v>
      </c>
    </row>
    <row r="96" spans="1:21" ht="16">
      <c r="A96" s="232">
        <v>25</v>
      </c>
      <c r="B96" s="232" t="s">
        <v>453</v>
      </c>
      <c r="C96" s="248">
        <v>212088601500</v>
      </c>
      <c r="D96" s="248"/>
      <c r="E96" s="249"/>
      <c r="F96" s="248">
        <f t="shared" si="13"/>
        <v>212088601500</v>
      </c>
      <c r="G96" s="248"/>
      <c r="H96" s="250">
        <v>23890751510.459999</v>
      </c>
      <c r="I96" s="222">
        <v>0</v>
      </c>
      <c r="K96" s="225">
        <f t="shared" si="14"/>
        <v>0</v>
      </c>
      <c r="L96" s="228">
        <f t="shared" si="8"/>
        <v>212088601500</v>
      </c>
      <c r="N96" s="225">
        <f t="shared" si="15"/>
        <v>212088601500</v>
      </c>
      <c r="P96" s="229">
        <f t="shared" si="10"/>
        <v>235979353010.45999</v>
      </c>
      <c r="Q96" s="230">
        <v>0</v>
      </c>
      <c r="R96" s="231">
        <v>0</v>
      </c>
      <c r="S96" s="229">
        <f t="shared" si="11"/>
        <v>0</v>
      </c>
      <c r="U96" s="226">
        <f t="shared" si="12"/>
        <v>235979353010.45999</v>
      </c>
    </row>
    <row r="97" spans="1:21" ht="16">
      <c r="A97" s="233">
        <v>251</v>
      </c>
      <c r="B97" s="233" t="s">
        <v>454</v>
      </c>
      <c r="C97" s="248">
        <v>2250000000</v>
      </c>
      <c r="D97" s="248"/>
      <c r="E97" s="249"/>
      <c r="F97" s="248">
        <f t="shared" si="13"/>
        <v>2250000000</v>
      </c>
      <c r="G97" s="248"/>
      <c r="H97" s="250">
        <v>0</v>
      </c>
      <c r="I97" s="222">
        <v>0</v>
      </c>
      <c r="K97" s="225">
        <f t="shared" si="14"/>
        <v>0</v>
      </c>
      <c r="L97" s="228">
        <f t="shared" si="8"/>
        <v>2250000000</v>
      </c>
      <c r="N97" s="225">
        <f t="shared" si="15"/>
        <v>2250000000</v>
      </c>
      <c r="P97" s="229">
        <f t="shared" si="10"/>
        <v>2250000000</v>
      </c>
      <c r="Q97" s="230">
        <v>0</v>
      </c>
      <c r="R97" s="231">
        <v>0</v>
      </c>
      <c r="S97" s="229">
        <f t="shared" si="11"/>
        <v>0</v>
      </c>
      <c r="U97" s="226">
        <f t="shared" si="12"/>
        <v>2250000000</v>
      </c>
    </row>
    <row r="98" spans="1:21" ht="16">
      <c r="A98" s="233">
        <v>252</v>
      </c>
      <c r="B98" s="233" t="s">
        <v>455</v>
      </c>
      <c r="C98" s="245">
        <v>209838601500</v>
      </c>
      <c r="D98" s="245"/>
      <c r="E98" s="246"/>
      <c r="F98" s="245">
        <f t="shared" si="13"/>
        <v>209838601500</v>
      </c>
      <c r="G98" s="245"/>
      <c r="H98" s="247">
        <v>0</v>
      </c>
      <c r="I98" s="222">
        <v>0</v>
      </c>
      <c r="K98" s="225">
        <f t="shared" si="14"/>
        <v>0</v>
      </c>
      <c r="L98" s="228">
        <f t="shared" si="8"/>
        <v>209838601500</v>
      </c>
      <c r="N98" s="225">
        <f t="shared" si="15"/>
        <v>209838601500</v>
      </c>
      <c r="P98" s="229">
        <f t="shared" si="10"/>
        <v>209838601500</v>
      </c>
      <c r="Q98" s="230">
        <v>0</v>
      </c>
      <c r="R98" s="231">
        <v>0</v>
      </c>
      <c r="S98" s="229">
        <f t="shared" si="11"/>
        <v>0</v>
      </c>
      <c r="U98" s="226">
        <f t="shared" si="12"/>
        <v>209838601500</v>
      </c>
    </row>
    <row r="99" spans="1:21" ht="16">
      <c r="A99" s="233">
        <v>253</v>
      </c>
      <c r="B99" s="233" t="s">
        <v>456</v>
      </c>
      <c r="C99" s="248"/>
      <c r="D99" s="248"/>
      <c r="E99" s="249"/>
      <c r="F99" s="248">
        <f t="shared" si="13"/>
        <v>0</v>
      </c>
      <c r="G99" s="248"/>
      <c r="H99" s="250">
        <v>23890751510.459999</v>
      </c>
      <c r="I99" s="222"/>
      <c r="K99" s="225">
        <f t="shared" si="14"/>
        <v>0</v>
      </c>
      <c r="L99" s="228">
        <f t="shared" si="8"/>
        <v>0</v>
      </c>
      <c r="N99" s="225">
        <f t="shared" si="15"/>
        <v>0</v>
      </c>
      <c r="P99" s="229">
        <f t="shared" si="10"/>
        <v>23890751510.459999</v>
      </c>
      <c r="Q99" s="230"/>
      <c r="R99" s="231"/>
      <c r="S99" s="229">
        <f t="shared" si="11"/>
        <v>0</v>
      </c>
      <c r="U99" s="226">
        <f t="shared" si="12"/>
        <v>23890751510.459999</v>
      </c>
    </row>
    <row r="100" spans="1:21" ht="16">
      <c r="A100" s="232">
        <v>26</v>
      </c>
      <c r="B100" s="232" t="s">
        <v>457</v>
      </c>
      <c r="C100" s="248">
        <v>969164176876</v>
      </c>
      <c r="D100" s="248"/>
      <c r="E100" s="249">
        <f>+E107</f>
        <v>-435736466703</v>
      </c>
      <c r="F100" s="248">
        <f t="shared" si="13"/>
        <v>533427710173</v>
      </c>
      <c r="G100" s="248"/>
      <c r="H100" s="250">
        <v>0</v>
      </c>
      <c r="I100" s="222">
        <v>12292508</v>
      </c>
      <c r="K100" s="225">
        <f t="shared" si="14"/>
        <v>12292508</v>
      </c>
      <c r="L100" s="228">
        <f>+L104+L107</f>
        <v>614296509267</v>
      </c>
      <c r="N100" s="225">
        <f>+N104+N107</f>
        <v>649190395397</v>
      </c>
      <c r="O100" s="228">
        <f>+O107</f>
        <v>-511760255726.27002</v>
      </c>
      <c r="P100" s="229">
        <f>+H100+N100+O100</f>
        <v>137430139670.72998</v>
      </c>
      <c r="Q100" s="230">
        <v>0</v>
      </c>
      <c r="R100" s="231">
        <v>184140789</v>
      </c>
      <c r="S100" s="229">
        <f t="shared" si="11"/>
        <v>184140789</v>
      </c>
      <c r="T100" s="220">
        <f>+T107</f>
        <v>-135273843670.72998</v>
      </c>
      <c r="U100" s="226">
        <f t="shared" si="12"/>
        <v>2352729297</v>
      </c>
    </row>
    <row r="101" spans="1:21" ht="16">
      <c r="A101" s="233">
        <v>261</v>
      </c>
      <c r="B101" s="233" t="s">
        <v>458</v>
      </c>
      <c r="C101" s="245">
        <v>0</v>
      </c>
      <c r="D101" s="245"/>
      <c r="E101" s="246"/>
      <c r="F101" s="245">
        <f t="shared" si="13"/>
        <v>0</v>
      </c>
      <c r="G101" s="245"/>
      <c r="H101" s="247">
        <v>0</v>
      </c>
      <c r="I101" s="222">
        <v>12292508</v>
      </c>
      <c r="K101" s="225">
        <f t="shared" si="14"/>
        <v>12292508</v>
      </c>
      <c r="L101" s="228">
        <f t="shared" si="8"/>
        <v>0</v>
      </c>
      <c r="N101" s="225">
        <f t="shared" si="15"/>
        <v>0</v>
      </c>
      <c r="P101" s="229">
        <f t="shared" si="10"/>
        <v>0</v>
      </c>
      <c r="Q101" s="230">
        <v>0</v>
      </c>
      <c r="R101" s="231">
        <v>0</v>
      </c>
      <c r="S101" s="229">
        <f t="shared" si="11"/>
        <v>0</v>
      </c>
      <c r="U101" s="226">
        <f t="shared" si="12"/>
        <v>12292508</v>
      </c>
    </row>
    <row r="102" spans="1:21" ht="16">
      <c r="A102" s="234">
        <v>2611</v>
      </c>
      <c r="B102" s="234" t="s">
        <v>459</v>
      </c>
      <c r="C102" s="248">
        <v>0</v>
      </c>
      <c r="D102" s="248"/>
      <c r="E102" s="249"/>
      <c r="F102" s="248">
        <f t="shared" si="13"/>
        <v>0</v>
      </c>
      <c r="G102" s="248"/>
      <c r="H102" s="250">
        <v>0</v>
      </c>
      <c r="I102" s="222">
        <v>12292508</v>
      </c>
      <c r="K102" s="225">
        <f t="shared" si="14"/>
        <v>12292508</v>
      </c>
      <c r="L102" s="228">
        <f t="shared" si="8"/>
        <v>0</v>
      </c>
      <c r="N102" s="225">
        <f t="shared" si="15"/>
        <v>0</v>
      </c>
      <c r="P102" s="229">
        <f t="shared" si="10"/>
        <v>0</v>
      </c>
      <c r="Q102" s="230">
        <v>0</v>
      </c>
      <c r="R102" s="231">
        <v>0</v>
      </c>
      <c r="S102" s="229">
        <f t="shared" si="11"/>
        <v>0</v>
      </c>
      <c r="U102" s="226">
        <f t="shared" si="12"/>
        <v>12292508</v>
      </c>
    </row>
    <row r="103" spans="1:21" ht="16">
      <c r="A103" s="234">
        <v>2612</v>
      </c>
      <c r="B103" s="234" t="s">
        <v>460</v>
      </c>
      <c r="C103" s="248">
        <v>0</v>
      </c>
      <c r="D103" s="248"/>
      <c r="E103" s="249"/>
      <c r="F103" s="248">
        <f t="shared" si="13"/>
        <v>0</v>
      </c>
      <c r="G103" s="248"/>
      <c r="H103" s="250">
        <v>0</v>
      </c>
      <c r="I103" s="222">
        <v>0</v>
      </c>
      <c r="K103" s="225">
        <f t="shared" si="14"/>
        <v>0</v>
      </c>
      <c r="L103" s="228">
        <f t="shared" si="8"/>
        <v>0</v>
      </c>
      <c r="N103" s="225">
        <f t="shared" si="15"/>
        <v>0</v>
      </c>
      <c r="P103" s="229">
        <f t="shared" si="10"/>
        <v>0</v>
      </c>
      <c r="Q103" s="230">
        <v>0</v>
      </c>
      <c r="R103" s="231">
        <v>0</v>
      </c>
      <c r="S103" s="229">
        <f t="shared" si="11"/>
        <v>0</v>
      </c>
      <c r="U103" s="226">
        <f t="shared" si="12"/>
        <v>0</v>
      </c>
    </row>
    <row r="104" spans="1:21" ht="16">
      <c r="A104" s="233">
        <v>262</v>
      </c>
      <c r="B104" s="233" t="s">
        <v>461</v>
      </c>
      <c r="C104" s="245">
        <v>2156296000</v>
      </c>
      <c r="D104" s="245"/>
      <c r="E104" s="246"/>
      <c r="F104" s="245">
        <f t="shared" si="13"/>
        <v>2156296000</v>
      </c>
      <c r="G104" s="245"/>
      <c r="H104" s="247">
        <v>0</v>
      </c>
      <c r="I104" s="222">
        <v>0</v>
      </c>
      <c r="K104" s="225">
        <f t="shared" si="14"/>
        <v>0</v>
      </c>
      <c r="L104" s="228">
        <f t="shared" si="8"/>
        <v>2156296000</v>
      </c>
      <c r="N104" s="225">
        <f t="shared" si="15"/>
        <v>2156296000</v>
      </c>
      <c r="P104" s="229">
        <f t="shared" si="10"/>
        <v>2156296000</v>
      </c>
      <c r="Q104" s="230">
        <v>0</v>
      </c>
      <c r="R104" s="231">
        <v>72940114</v>
      </c>
      <c r="S104" s="229">
        <f t="shared" si="11"/>
        <v>72940114</v>
      </c>
      <c r="U104" s="226">
        <f t="shared" si="12"/>
        <v>2229236114</v>
      </c>
    </row>
    <row r="105" spans="1:21" ht="16">
      <c r="A105" s="234">
        <v>2621</v>
      </c>
      <c r="B105" s="234" t="s">
        <v>462</v>
      </c>
      <c r="C105" s="245">
        <v>2156296000</v>
      </c>
      <c r="D105" s="245"/>
      <c r="E105" s="246"/>
      <c r="F105" s="245">
        <f t="shared" si="13"/>
        <v>2156296000</v>
      </c>
      <c r="G105" s="245"/>
      <c r="H105" s="247">
        <v>0</v>
      </c>
      <c r="I105" s="222">
        <v>0</v>
      </c>
      <c r="K105" s="225">
        <f t="shared" si="14"/>
        <v>0</v>
      </c>
      <c r="L105" s="228">
        <f t="shared" si="8"/>
        <v>2156296000</v>
      </c>
      <c r="N105" s="225">
        <f t="shared" si="15"/>
        <v>2156296000</v>
      </c>
      <c r="P105" s="229">
        <f t="shared" si="10"/>
        <v>2156296000</v>
      </c>
      <c r="Q105" s="230">
        <v>0</v>
      </c>
      <c r="R105" s="231">
        <v>72940114</v>
      </c>
      <c r="S105" s="229">
        <f t="shared" si="11"/>
        <v>72940114</v>
      </c>
      <c r="U105" s="226">
        <f t="shared" si="12"/>
        <v>2229236114</v>
      </c>
    </row>
    <row r="106" spans="1:21" ht="16">
      <c r="A106" s="234">
        <v>2622</v>
      </c>
      <c r="B106" s="234" t="s">
        <v>463</v>
      </c>
      <c r="C106" s="248">
        <v>0</v>
      </c>
      <c r="D106" s="248"/>
      <c r="E106" s="249"/>
      <c r="F106" s="248">
        <f t="shared" si="13"/>
        <v>0</v>
      </c>
      <c r="G106" s="248"/>
      <c r="H106" s="250">
        <v>0</v>
      </c>
      <c r="I106" s="222">
        <v>0</v>
      </c>
      <c r="K106" s="225">
        <f t="shared" si="14"/>
        <v>0</v>
      </c>
      <c r="L106" s="228">
        <f t="shared" si="8"/>
        <v>0</v>
      </c>
      <c r="N106" s="225">
        <f t="shared" si="15"/>
        <v>0</v>
      </c>
      <c r="P106" s="229">
        <f t="shared" si="10"/>
        <v>0</v>
      </c>
      <c r="Q106" s="230">
        <v>0</v>
      </c>
      <c r="R106" s="231">
        <v>0</v>
      </c>
      <c r="S106" s="229">
        <f t="shared" si="11"/>
        <v>0</v>
      </c>
      <c r="U106" s="226">
        <f t="shared" si="12"/>
        <v>0</v>
      </c>
    </row>
    <row r="107" spans="1:21" ht="16">
      <c r="A107" s="233">
        <v>263</v>
      </c>
      <c r="B107" s="233" t="s">
        <v>464</v>
      </c>
      <c r="C107" s="248">
        <v>967007880876</v>
      </c>
      <c r="D107" s="248"/>
      <c r="E107" s="239">
        <v>-435736466703</v>
      </c>
      <c r="F107" s="248">
        <f t="shared" si="13"/>
        <v>531271414173</v>
      </c>
      <c r="G107" s="248"/>
      <c r="H107" s="250">
        <v>0</v>
      </c>
      <c r="I107" s="222">
        <v>0</v>
      </c>
      <c r="K107" s="225">
        <f t="shared" si="14"/>
        <v>0</v>
      </c>
      <c r="L107" s="228">
        <f>+L108+L109</f>
        <v>612140213267</v>
      </c>
      <c r="M107" s="227">
        <f>+M108</f>
        <v>34893886130</v>
      </c>
      <c r="N107" s="225">
        <f t="shared" si="15"/>
        <v>647034099397</v>
      </c>
      <c r="O107" s="228">
        <v>-511760255726.27002</v>
      </c>
      <c r="P107" s="229">
        <f t="shared" si="10"/>
        <v>135273843670.72998</v>
      </c>
      <c r="Q107" s="230">
        <v>0</v>
      </c>
      <c r="R107" s="231"/>
      <c r="S107" s="229">
        <f t="shared" si="11"/>
        <v>0</v>
      </c>
      <c r="T107" s="220">
        <f>-P107</f>
        <v>-135273843670.72998</v>
      </c>
      <c r="U107" s="226">
        <f t="shared" si="12"/>
        <v>0</v>
      </c>
    </row>
    <row r="108" spans="1:21" ht="16">
      <c r="A108" s="234">
        <v>2631</v>
      </c>
      <c r="B108" s="234" t="s">
        <v>465</v>
      </c>
      <c r="C108" s="245">
        <v>446750674917</v>
      </c>
      <c r="D108" s="245"/>
      <c r="E108" s="244">
        <f>-D54</f>
        <v>-397016339803</v>
      </c>
      <c r="F108" s="245">
        <f t="shared" si="13"/>
        <v>49734335114</v>
      </c>
      <c r="G108" s="245"/>
      <c r="H108" s="247">
        <v>0</v>
      </c>
      <c r="I108" s="222">
        <v>0</v>
      </c>
      <c r="K108" s="225">
        <f t="shared" si="14"/>
        <v>0</v>
      </c>
      <c r="L108" s="228">
        <f>+F108-J3</f>
        <v>130603134208</v>
      </c>
      <c r="M108" s="227">
        <f>+M2</f>
        <v>34893886130</v>
      </c>
      <c r="N108" s="225">
        <f t="shared" si="15"/>
        <v>165497020338</v>
      </c>
      <c r="O108" s="228">
        <v>-110927265376.26999</v>
      </c>
      <c r="P108" s="251">
        <v>108609891557</v>
      </c>
      <c r="Q108" s="230">
        <v>0</v>
      </c>
      <c r="R108" s="231"/>
      <c r="S108" s="229">
        <f t="shared" si="11"/>
        <v>0</v>
      </c>
      <c r="T108" s="220">
        <f>-P108</f>
        <v>-108609891557</v>
      </c>
      <c r="U108" s="226">
        <f t="shared" si="12"/>
        <v>0</v>
      </c>
    </row>
    <row r="109" spans="1:21" ht="16">
      <c r="A109" s="234">
        <v>2632</v>
      </c>
      <c r="B109" s="234" t="s">
        <v>466</v>
      </c>
      <c r="C109" s="248">
        <v>520257205959</v>
      </c>
      <c r="D109" s="248"/>
      <c r="E109" s="244">
        <f>-D55</f>
        <v>-38720126900</v>
      </c>
      <c r="F109" s="248">
        <f t="shared" si="13"/>
        <v>481537079059</v>
      </c>
      <c r="G109" s="248"/>
      <c r="H109" s="250">
        <v>0</v>
      </c>
      <c r="I109" s="222">
        <v>0</v>
      </c>
      <c r="K109" s="225">
        <f t="shared" si="14"/>
        <v>0</v>
      </c>
      <c r="L109" s="228">
        <f t="shared" si="8"/>
        <v>481537079059</v>
      </c>
      <c r="N109" s="225">
        <f t="shared" si="15"/>
        <v>481537079059</v>
      </c>
      <c r="O109" s="228">
        <v>-400832990350</v>
      </c>
      <c r="P109" s="251">
        <v>26663952113.72998</v>
      </c>
      <c r="Q109" s="230">
        <v>0</v>
      </c>
      <c r="R109" s="231">
        <v>0</v>
      </c>
      <c r="S109" s="229">
        <f t="shared" si="11"/>
        <v>0</v>
      </c>
      <c r="T109" s="220">
        <f>-P109</f>
        <v>-26663952113.72998</v>
      </c>
      <c r="U109" s="226">
        <f t="shared" si="12"/>
        <v>0</v>
      </c>
    </row>
    <row r="110" spans="1:21" ht="16">
      <c r="A110" s="232">
        <v>27</v>
      </c>
      <c r="B110" s="232" t="s">
        <v>467</v>
      </c>
      <c r="C110" s="248">
        <v>15392737290</v>
      </c>
      <c r="D110" s="248"/>
      <c r="E110" s="249"/>
      <c r="F110" s="248">
        <f t="shared" si="13"/>
        <v>15392737290</v>
      </c>
      <c r="G110" s="248"/>
      <c r="H110" s="250">
        <v>0</v>
      </c>
      <c r="I110" s="222">
        <v>6889188237</v>
      </c>
      <c r="K110" s="225">
        <f t="shared" si="14"/>
        <v>6889188237</v>
      </c>
      <c r="L110" s="228">
        <f t="shared" si="8"/>
        <v>15392737290</v>
      </c>
      <c r="N110" s="225">
        <f t="shared" si="15"/>
        <v>15392737290</v>
      </c>
      <c r="P110" s="229">
        <f t="shared" si="10"/>
        <v>15392737290</v>
      </c>
      <c r="Q110" s="230">
        <v>105453310826</v>
      </c>
      <c r="R110" s="231">
        <v>18810124248</v>
      </c>
      <c r="S110" s="229">
        <f t="shared" si="11"/>
        <v>124263435074</v>
      </c>
      <c r="U110" s="226">
        <f t="shared" si="12"/>
        <v>146545360601</v>
      </c>
    </row>
    <row r="111" spans="1:21" ht="16">
      <c r="A111" s="233">
        <v>271</v>
      </c>
      <c r="B111" s="233" t="s">
        <v>468</v>
      </c>
      <c r="C111" s="245">
        <v>0</v>
      </c>
      <c r="D111" s="245"/>
      <c r="E111" s="246"/>
      <c r="F111" s="245">
        <f t="shared" si="13"/>
        <v>0</v>
      </c>
      <c r="G111" s="245"/>
      <c r="H111" s="247">
        <v>0</v>
      </c>
      <c r="I111" s="222">
        <v>6889188237</v>
      </c>
      <c r="K111" s="225">
        <f t="shared" si="14"/>
        <v>6889188237</v>
      </c>
      <c r="L111" s="228">
        <f t="shared" ref="L111:L174" si="16">+F111</f>
        <v>0</v>
      </c>
      <c r="N111" s="225">
        <f t="shared" si="15"/>
        <v>0</v>
      </c>
      <c r="P111" s="229">
        <f t="shared" si="10"/>
        <v>0</v>
      </c>
      <c r="Q111" s="230">
        <v>105453310826</v>
      </c>
      <c r="R111" s="231">
        <v>18636531499</v>
      </c>
      <c r="S111" s="229">
        <f t="shared" si="11"/>
        <v>124089842325</v>
      </c>
      <c r="U111" s="226">
        <f t="shared" si="12"/>
        <v>130979030562</v>
      </c>
    </row>
    <row r="112" spans="1:21" ht="16">
      <c r="A112" s="233">
        <v>272</v>
      </c>
      <c r="B112" s="233" t="s">
        <v>469</v>
      </c>
      <c r="C112" s="248">
        <v>0</v>
      </c>
      <c r="D112" s="248"/>
      <c r="E112" s="249"/>
      <c r="F112" s="248">
        <f t="shared" si="13"/>
        <v>0</v>
      </c>
      <c r="G112" s="248"/>
      <c r="H112" s="250">
        <v>0</v>
      </c>
      <c r="I112" s="222">
        <v>0</v>
      </c>
      <c r="K112" s="225">
        <f t="shared" si="14"/>
        <v>0</v>
      </c>
      <c r="L112" s="228">
        <f t="shared" si="16"/>
        <v>0</v>
      </c>
      <c r="N112" s="225">
        <f t="shared" si="15"/>
        <v>0</v>
      </c>
      <c r="P112" s="229">
        <f t="shared" si="10"/>
        <v>0</v>
      </c>
      <c r="Q112" s="230">
        <v>0</v>
      </c>
      <c r="R112" s="231">
        <v>0</v>
      </c>
      <c r="S112" s="229">
        <f t="shared" si="11"/>
        <v>0</v>
      </c>
      <c r="U112" s="226">
        <f t="shared" si="12"/>
        <v>0</v>
      </c>
    </row>
    <row r="113" spans="1:21" ht="16">
      <c r="A113" s="233">
        <v>273</v>
      </c>
      <c r="B113" s="233" t="s">
        <v>470</v>
      </c>
      <c r="C113" s="248">
        <v>15392737290</v>
      </c>
      <c r="D113" s="248"/>
      <c r="E113" s="249"/>
      <c r="F113" s="248">
        <f t="shared" si="13"/>
        <v>15392737290</v>
      </c>
      <c r="G113" s="248"/>
      <c r="H113" s="250">
        <v>0</v>
      </c>
      <c r="I113" s="222">
        <v>0</v>
      </c>
      <c r="K113" s="225">
        <f t="shared" si="14"/>
        <v>0</v>
      </c>
      <c r="L113" s="228">
        <f t="shared" si="16"/>
        <v>15392737290</v>
      </c>
      <c r="N113" s="225">
        <f t="shared" si="15"/>
        <v>15392737290</v>
      </c>
      <c r="P113" s="229">
        <f t="shared" si="10"/>
        <v>15392737290</v>
      </c>
      <c r="Q113" s="230">
        <v>0</v>
      </c>
      <c r="R113" s="231">
        <v>173592749</v>
      </c>
      <c r="S113" s="229">
        <f t="shared" si="11"/>
        <v>173592749</v>
      </c>
      <c r="U113" s="226">
        <f t="shared" si="12"/>
        <v>15566330039</v>
      </c>
    </row>
    <row r="114" spans="1:21" ht="16">
      <c r="A114" s="232">
        <v>28</v>
      </c>
      <c r="B114" s="232" t="s">
        <v>471</v>
      </c>
      <c r="C114" s="245">
        <v>204000360018</v>
      </c>
      <c r="D114" s="245">
        <f>+D121</f>
        <v>84588059000</v>
      </c>
      <c r="E114" s="246"/>
      <c r="F114" s="245">
        <f t="shared" si="13"/>
        <v>288588419018</v>
      </c>
      <c r="G114" s="245"/>
      <c r="H114" s="247">
        <v>52431941494</v>
      </c>
      <c r="I114" s="222">
        <v>13381980376</v>
      </c>
      <c r="K114" s="225">
        <f t="shared" si="14"/>
        <v>13381980376</v>
      </c>
      <c r="L114" s="228">
        <f t="shared" si="16"/>
        <v>288588419018</v>
      </c>
      <c r="N114" s="225">
        <f t="shared" si="15"/>
        <v>288588419018</v>
      </c>
      <c r="P114" s="229">
        <f t="shared" si="10"/>
        <v>341020360512</v>
      </c>
      <c r="Q114" s="230">
        <v>2834946747</v>
      </c>
      <c r="R114" s="231">
        <v>5242340648</v>
      </c>
      <c r="S114" s="229">
        <f t="shared" si="11"/>
        <v>8077287395</v>
      </c>
      <c r="U114" s="226">
        <f t="shared" si="12"/>
        <v>362479628283</v>
      </c>
    </row>
    <row r="115" spans="1:21" ht="16">
      <c r="A115" s="233">
        <v>281</v>
      </c>
      <c r="B115" s="233" t="s">
        <v>472</v>
      </c>
      <c r="C115" s="245">
        <v>0</v>
      </c>
      <c r="D115" s="245"/>
      <c r="E115" s="246"/>
      <c r="F115" s="245">
        <f t="shared" si="13"/>
        <v>0</v>
      </c>
      <c r="G115" s="245"/>
      <c r="H115" s="247">
        <v>0</v>
      </c>
      <c r="I115" s="222">
        <v>0</v>
      </c>
      <c r="K115" s="225">
        <f t="shared" si="14"/>
        <v>0</v>
      </c>
      <c r="L115" s="228">
        <f t="shared" si="16"/>
        <v>0</v>
      </c>
      <c r="N115" s="225">
        <f t="shared" si="15"/>
        <v>0</v>
      </c>
      <c r="P115" s="229">
        <f t="shared" si="10"/>
        <v>0</v>
      </c>
      <c r="Q115" s="230">
        <v>0</v>
      </c>
      <c r="R115" s="231">
        <v>0</v>
      </c>
      <c r="S115" s="229">
        <f t="shared" si="11"/>
        <v>0</v>
      </c>
      <c r="U115" s="226">
        <f t="shared" si="12"/>
        <v>0</v>
      </c>
    </row>
    <row r="116" spans="1:21" ht="16">
      <c r="A116" s="234">
        <v>2811</v>
      </c>
      <c r="B116" s="234" t="s">
        <v>473</v>
      </c>
      <c r="C116" s="248">
        <v>0</v>
      </c>
      <c r="D116" s="248"/>
      <c r="E116" s="249"/>
      <c r="F116" s="248">
        <f t="shared" si="13"/>
        <v>0</v>
      </c>
      <c r="G116" s="248"/>
      <c r="H116" s="250">
        <v>0</v>
      </c>
      <c r="I116" s="222">
        <v>0</v>
      </c>
      <c r="K116" s="225">
        <f t="shared" si="14"/>
        <v>0</v>
      </c>
      <c r="L116" s="228">
        <f t="shared" si="16"/>
        <v>0</v>
      </c>
      <c r="N116" s="225">
        <f t="shared" si="15"/>
        <v>0</v>
      </c>
      <c r="P116" s="229">
        <f t="shared" si="10"/>
        <v>0</v>
      </c>
      <c r="Q116" s="230">
        <v>0</v>
      </c>
      <c r="R116" s="231">
        <v>0</v>
      </c>
      <c r="S116" s="229">
        <f t="shared" si="11"/>
        <v>0</v>
      </c>
      <c r="U116" s="226">
        <f t="shared" si="12"/>
        <v>0</v>
      </c>
    </row>
    <row r="117" spans="1:21" ht="16">
      <c r="A117" s="234">
        <v>2812</v>
      </c>
      <c r="B117" s="234" t="s">
        <v>474</v>
      </c>
      <c r="C117" s="248">
        <v>0</v>
      </c>
      <c r="D117" s="248"/>
      <c r="E117" s="249"/>
      <c r="F117" s="248">
        <f t="shared" si="13"/>
        <v>0</v>
      </c>
      <c r="G117" s="248"/>
      <c r="H117" s="250">
        <v>0</v>
      </c>
      <c r="I117" s="222">
        <v>0</v>
      </c>
      <c r="K117" s="225">
        <f t="shared" si="14"/>
        <v>0</v>
      </c>
      <c r="L117" s="228">
        <f t="shared" si="16"/>
        <v>0</v>
      </c>
      <c r="N117" s="225">
        <f t="shared" si="15"/>
        <v>0</v>
      </c>
      <c r="P117" s="229">
        <f t="shared" si="10"/>
        <v>0</v>
      </c>
      <c r="Q117" s="230">
        <v>0</v>
      </c>
      <c r="R117" s="231">
        <v>0</v>
      </c>
      <c r="S117" s="229">
        <f t="shared" si="11"/>
        <v>0</v>
      </c>
      <c r="U117" s="226">
        <f t="shared" si="12"/>
        <v>0</v>
      </c>
    </row>
    <row r="118" spans="1:21" ht="16">
      <c r="A118" s="234">
        <v>2813</v>
      </c>
      <c r="B118" s="234" t="s">
        <v>475</v>
      </c>
      <c r="C118" s="248">
        <v>0</v>
      </c>
      <c r="D118" s="248"/>
      <c r="E118" s="249"/>
      <c r="F118" s="248">
        <f t="shared" si="13"/>
        <v>0</v>
      </c>
      <c r="G118" s="248"/>
      <c r="H118" s="250">
        <v>0</v>
      </c>
      <c r="I118" s="222">
        <v>0</v>
      </c>
      <c r="K118" s="225">
        <f t="shared" si="14"/>
        <v>0</v>
      </c>
      <c r="L118" s="228">
        <f t="shared" si="16"/>
        <v>0</v>
      </c>
      <c r="N118" s="225">
        <f t="shared" si="15"/>
        <v>0</v>
      </c>
      <c r="P118" s="229">
        <f t="shared" si="10"/>
        <v>0</v>
      </c>
      <c r="Q118" s="230">
        <v>0</v>
      </c>
      <c r="R118" s="231">
        <v>0</v>
      </c>
      <c r="S118" s="229">
        <f t="shared" si="11"/>
        <v>0</v>
      </c>
      <c r="U118" s="226">
        <f t="shared" si="12"/>
        <v>0</v>
      </c>
    </row>
    <row r="119" spans="1:21" ht="16">
      <c r="A119" s="234">
        <v>2814</v>
      </c>
      <c r="B119" s="234" t="s">
        <v>476</v>
      </c>
      <c r="C119" s="248">
        <v>0</v>
      </c>
      <c r="D119" s="248"/>
      <c r="E119" s="249"/>
      <c r="F119" s="248">
        <f t="shared" si="13"/>
        <v>0</v>
      </c>
      <c r="G119" s="248"/>
      <c r="H119" s="250">
        <v>0</v>
      </c>
      <c r="I119" s="222">
        <v>0</v>
      </c>
      <c r="K119" s="225">
        <f t="shared" si="14"/>
        <v>0</v>
      </c>
      <c r="L119" s="228">
        <f t="shared" si="16"/>
        <v>0</v>
      </c>
      <c r="N119" s="225">
        <f t="shared" si="15"/>
        <v>0</v>
      </c>
      <c r="P119" s="229">
        <f t="shared" si="10"/>
        <v>0</v>
      </c>
      <c r="Q119" s="230">
        <v>0</v>
      </c>
      <c r="R119" s="231">
        <v>0</v>
      </c>
      <c r="S119" s="229">
        <f t="shared" si="11"/>
        <v>0</v>
      </c>
      <c r="U119" s="226">
        <f t="shared" si="12"/>
        <v>0</v>
      </c>
    </row>
    <row r="120" spans="1:21" ht="16">
      <c r="A120" s="234">
        <v>2815</v>
      </c>
      <c r="B120" s="234" t="s">
        <v>477</v>
      </c>
      <c r="C120" s="245"/>
      <c r="D120" s="245"/>
      <c r="E120" s="246"/>
      <c r="F120" s="245">
        <f t="shared" si="13"/>
        <v>0</v>
      </c>
      <c r="G120" s="245"/>
      <c r="H120" s="247">
        <v>0</v>
      </c>
      <c r="I120" s="222"/>
      <c r="K120" s="225">
        <f t="shared" si="14"/>
        <v>0</v>
      </c>
      <c r="L120" s="228">
        <f t="shared" si="16"/>
        <v>0</v>
      </c>
      <c r="N120" s="225">
        <f t="shared" si="15"/>
        <v>0</v>
      </c>
      <c r="P120" s="229">
        <f t="shared" si="10"/>
        <v>0</v>
      </c>
      <c r="Q120" s="230">
        <v>0</v>
      </c>
      <c r="R120" s="231">
        <v>0</v>
      </c>
      <c r="S120" s="229">
        <f t="shared" si="11"/>
        <v>0</v>
      </c>
      <c r="U120" s="226">
        <f t="shared" si="12"/>
        <v>0</v>
      </c>
    </row>
    <row r="121" spans="1:21" ht="16">
      <c r="A121" s="233">
        <v>282</v>
      </c>
      <c r="B121" s="233" t="s">
        <v>478</v>
      </c>
      <c r="C121" s="248">
        <v>204000360018</v>
      </c>
      <c r="D121" s="248">
        <f>+D122+D123</f>
        <v>84588059000</v>
      </c>
      <c r="E121" s="249"/>
      <c r="F121" s="248">
        <f t="shared" si="13"/>
        <v>288588419018</v>
      </c>
      <c r="G121" s="248"/>
      <c r="H121" s="250">
        <v>52431941494</v>
      </c>
      <c r="I121" s="222">
        <v>13381980376</v>
      </c>
      <c r="K121" s="225">
        <f t="shared" si="14"/>
        <v>13381980376</v>
      </c>
      <c r="L121" s="228">
        <f t="shared" si="16"/>
        <v>288588419018</v>
      </c>
      <c r="N121" s="225">
        <f t="shared" si="15"/>
        <v>288588419018</v>
      </c>
      <c r="P121" s="229">
        <f t="shared" si="10"/>
        <v>341020360512</v>
      </c>
      <c r="Q121" s="230">
        <v>2834946747</v>
      </c>
      <c r="R121" s="231">
        <f>+R122+R123</f>
        <v>5353541323</v>
      </c>
      <c r="S121" s="229">
        <f t="shared" si="11"/>
        <v>8188488070</v>
      </c>
      <c r="U121" s="226">
        <f t="shared" si="12"/>
        <v>362590828958</v>
      </c>
    </row>
    <row r="122" spans="1:21" ht="16">
      <c r="A122" s="234">
        <v>2821</v>
      </c>
      <c r="B122" s="234" t="s">
        <v>479</v>
      </c>
      <c r="C122" s="248">
        <v>204000360018</v>
      </c>
      <c r="D122" s="248">
        <v>84588059000</v>
      </c>
      <c r="E122" s="249"/>
      <c r="F122" s="248">
        <f t="shared" si="13"/>
        <v>288588419018</v>
      </c>
      <c r="G122" s="248"/>
      <c r="H122" s="250">
        <v>52431941494</v>
      </c>
      <c r="I122" s="222">
        <v>12819633775</v>
      </c>
      <c r="K122" s="225">
        <f t="shared" si="14"/>
        <v>12819633775</v>
      </c>
      <c r="L122" s="228">
        <f t="shared" si="16"/>
        <v>288588419018</v>
      </c>
      <c r="N122" s="225">
        <f t="shared" si="15"/>
        <v>288588419018</v>
      </c>
      <c r="P122" s="229">
        <f t="shared" si="10"/>
        <v>341020360512</v>
      </c>
      <c r="Q122" s="230">
        <v>2782545547</v>
      </c>
      <c r="R122" s="231">
        <v>5353541323</v>
      </c>
      <c r="S122" s="229">
        <f t="shared" si="11"/>
        <v>8136086870</v>
      </c>
      <c r="U122" s="226">
        <f t="shared" si="12"/>
        <v>361976081157</v>
      </c>
    </row>
    <row r="123" spans="1:21" ht="16">
      <c r="A123" s="234">
        <v>2822</v>
      </c>
      <c r="B123" s="234" t="s">
        <v>480</v>
      </c>
      <c r="C123" s="252">
        <v>0</v>
      </c>
      <c r="D123" s="252"/>
      <c r="E123" s="253"/>
      <c r="F123" s="252">
        <f t="shared" si="13"/>
        <v>0</v>
      </c>
      <c r="G123" s="252"/>
      <c r="H123" s="254">
        <v>0</v>
      </c>
      <c r="I123" s="222">
        <v>562346601</v>
      </c>
      <c r="K123" s="225">
        <f t="shared" si="14"/>
        <v>562346601</v>
      </c>
      <c r="L123" s="228">
        <f t="shared" si="16"/>
        <v>0</v>
      </c>
      <c r="N123" s="225">
        <f t="shared" si="15"/>
        <v>0</v>
      </c>
      <c r="P123" s="229">
        <f t="shared" si="10"/>
        <v>0</v>
      </c>
      <c r="Q123" s="230">
        <v>52401200</v>
      </c>
      <c r="R123" s="231">
        <v>0</v>
      </c>
      <c r="S123" s="229">
        <f t="shared" si="11"/>
        <v>52401200</v>
      </c>
      <c r="U123" s="226">
        <f t="shared" si="12"/>
        <v>614747801</v>
      </c>
    </row>
    <row r="124" spans="1:21" ht="16">
      <c r="A124" s="233">
        <v>283</v>
      </c>
      <c r="B124" s="233" t="s">
        <v>481</v>
      </c>
      <c r="C124" s="255"/>
      <c r="D124" s="255"/>
      <c r="E124" s="256"/>
      <c r="F124" s="255">
        <f t="shared" si="13"/>
        <v>0</v>
      </c>
      <c r="G124" s="255"/>
      <c r="H124" s="257">
        <v>0</v>
      </c>
      <c r="I124" s="222"/>
      <c r="K124" s="225">
        <f t="shared" si="14"/>
        <v>0</v>
      </c>
      <c r="L124" s="228">
        <f t="shared" si="16"/>
        <v>0</v>
      </c>
      <c r="N124" s="225">
        <f t="shared" si="15"/>
        <v>0</v>
      </c>
      <c r="P124" s="229">
        <f t="shared" si="10"/>
        <v>0</v>
      </c>
      <c r="Q124" s="230">
        <v>0</v>
      </c>
      <c r="R124" s="231">
        <v>0</v>
      </c>
      <c r="S124" s="229">
        <f t="shared" si="11"/>
        <v>0</v>
      </c>
      <c r="U124" s="226">
        <f t="shared" si="12"/>
        <v>0</v>
      </c>
    </row>
    <row r="125" spans="1:21" ht="16">
      <c r="A125" s="234">
        <v>2831</v>
      </c>
      <c r="B125" s="234" t="s">
        <v>482</v>
      </c>
      <c r="C125" s="255"/>
      <c r="D125" s="255"/>
      <c r="E125" s="256"/>
      <c r="F125" s="255">
        <f t="shared" si="13"/>
        <v>0</v>
      </c>
      <c r="G125" s="255"/>
      <c r="H125" s="257">
        <v>0</v>
      </c>
      <c r="I125" s="222"/>
      <c r="K125" s="225">
        <f t="shared" si="14"/>
        <v>0</v>
      </c>
      <c r="L125" s="228">
        <f t="shared" si="16"/>
        <v>0</v>
      </c>
      <c r="N125" s="225">
        <f t="shared" si="15"/>
        <v>0</v>
      </c>
      <c r="P125" s="229">
        <f t="shared" si="10"/>
        <v>0</v>
      </c>
      <c r="Q125" s="230">
        <v>0</v>
      </c>
      <c r="R125" s="231">
        <v>0</v>
      </c>
      <c r="S125" s="229">
        <f t="shared" si="11"/>
        <v>0</v>
      </c>
      <c r="U125" s="226">
        <f t="shared" si="12"/>
        <v>0</v>
      </c>
    </row>
    <row r="126" spans="1:21" ht="16">
      <c r="A126" s="234">
        <v>28311</v>
      </c>
      <c r="B126" s="234" t="s">
        <v>483</v>
      </c>
      <c r="C126" s="255"/>
      <c r="D126" s="255"/>
      <c r="E126" s="256"/>
      <c r="F126" s="255">
        <f t="shared" si="13"/>
        <v>0</v>
      </c>
      <c r="G126" s="255"/>
      <c r="H126" s="257">
        <v>0</v>
      </c>
      <c r="I126" s="222"/>
      <c r="K126" s="225">
        <f t="shared" si="14"/>
        <v>0</v>
      </c>
      <c r="L126" s="228">
        <f t="shared" si="16"/>
        <v>0</v>
      </c>
      <c r="N126" s="225">
        <f t="shared" si="15"/>
        <v>0</v>
      </c>
      <c r="P126" s="229">
        <f t="shared" si="10"/>
        <v>0</v>
      </c>
      <c r="Q126" s="230">
        <v>0</v>
      </c>
      <c r="R126" s="231">
        <v>0</v>
      </c>
      <c r="S126" s="229">
        <f t="shared" si="11"/>
        <v>0</v>
      </c>
      <c r="U126" s="226">
        <f t="shared" si="12"/>
        <v>0</v>
      </c>
    </row>
    <row r="127" spans="1:21" ht="16">
      <c r="A127" s="234">
        <v>28312</v>
      </c>
      <c r="B127" s="234" t="s">
        <v>484</v>
      </c>
      <c r="C127" s="258"/>
      <c r="D127" s="258"/>
      <c r="E127" s="259"/>
      <c r="F127" s="258">
        <f t="shared" si="13"/>
        <v>0</v>
      </c>
      <c r="G127" s="258"/>
      <c r="H127" s="260">
        <v>0</v>
      </c>
      <c r="I127" s="222"/>
      <c r="K127" s="225">
        <f t="shared" si="14"/>
        <v>0</v>
      </c>
      <c r="L127" s="228">
        <f t="shared" si="16"/>
        <v>0</v>
      </c>
      <c r="N127" s="225">
        <f t="shared" si="15"/>
        <v>0</v>
      </c>
      <c r="P127" s="229">
        <f t="shared" si="10"/>
        <v>0</v>
      </c>
      <c r="Q127" s="230">
        <v>0</v>
      </c>
      <c r="R127" s="231">
        <v>0</v>
      </c>
      <c r="S127" s="229">
        <f t="shared" si="11"/>
        <v>0</v>
      </c>
      <c r="U127" s="226">
        <f t="shared" si="12"/>
        <v>0</v>
      </c>
    </row>
    <row r="128" spans="1:21" ht="16">
      <c r="A128" s="234">
        <v>28313</v>
      </c>
      <c r="B128" s="234" t="s">
        <v>485</v>
      </c>
      <c r="C128" s="258"/>
      <c r="D128" s="258"/>
      <c r="E128" s="259"/>
      <c r="F128" s="258">
        <f t="shared" si="13"/>
        <v>0</v>
      </c>
      <c r="G128" s="258"/>
      <c r="H128" s="260">
        <v>0</v>
      </c>
      <c r="I128" s="222"/>
      <c r="K128" s="225">
        <f t="shared" si="14"/>
        <v>0</v>
      </c>
      <c r="L128" s="228">
        <f t="shared" si="16"/>
        <v>0</v>
      </c>
      <c r="N128" s="225">
        <f t="shared" si="15"/>
        <v>0</v>
      </c>
      <c r="P128" s="229">
        <f t="shared" si="10"/>
        <v>0</v>
      </c>
      <c r="Q128" s="230">
        <v>0</v>
      </c>
      <c r="R128" s="231">
        <v>0</v>
      </c>
      <c r="S128" s="229">
        <f t="shared" si="11"/>
        <v>0</v>
      </c>
      <c r="U128" s="226">
        <f t="shared" si="12"/>
        <v>0</v>
      </c>
    </row>
    <row r="129" spans="1:21" ht="16">
      <c r="A129" s="234">
        <v>2832</v>
      </c>
      <c r="B129" s="234" t="s">
        <v>486</v>
      </c>
      <c r="C129" s="258"/>
      <c r="D129" s="258"/>
      <c r="E129" s="259"/>
      <c r="F129" s="258">
        <f t="shared" si="13"/>
        <v>0</v>
      </c>
      <c r="G129" s="258"/>
      <c r="H129" s="260">
        <v>0</v>
      </c>
      <c r="I129" s="222"/>
      <c r="K129" s="225">
        <f t="shared" si="14"/>
        <v>0</v>
      </c>
      <c r="L129" s="228">
        <f t="shared" si="16"/>
        <v>0</v>
      </c>
      <c r="N129" s="225">
        <f t="shared" si="15"/>
        <v>0</v>
      </c>
      <c r="P129" s="229">
        <f t="shared" si="10"/>
        <v>0</v>
      </c>
      <c r="Q129" s="230">
        <v>0</v>
      </c>
      <c r="R129" s="231">
        <v>0</v>
      </c>
      <c r="S129" s="229">
        <f t="shared" si="11"/>
        <v>0</v>
      </c>
      <c r="U129" s="226">
        <f t="shared" si="12"/>
        <v>0</v>
      </c>
    </row>
    <row r="130" spans="1:21" ht="16">
      <c r="A130" s="261" t="s">
        <v>487</v>
      </c>
      <c r="B130" s="261" t="s">
        <v>488</v>
      </c>
      <c r="C130" s="255">
        <f>+C2-C84</f>
        <v>102621990930.25049</v>
      </c>
      <c r="D130" s="255">
        <f>+D2-D84</f>
        <v>38720126900</v>
      </c>
      <c r="E130" s="256">
        <f>+E2-E84</f>
        <v>0</v>
      </c>
      <c r="F130" s="255">
        <f>+F2-F84</f>
        <v>141342117830.25049</v>
      </c>
      <c r="G130" s="255"/>
      <c r="H130" s="257">
        <v>211294395855.54999</v>
      </c>
      <c r="I130" s="262">
        <f t="shared" ref="I130:N130" si="17">+I2-I84</f>
        <v>68375573554</v>
      </c>
      <c r="J130" s="228">
        <f t="shared" si="17"/>
        <v>0</v>
      </c>
      <c r="K130" s="263">
        <f t="shared" si="17"/>
        <v>68375573554</v>
      </c>
      <c r="L130" s="228">
        <f t="shared" si="17"/>
        <v>141342117830.25049</v>
      </c>
      <c r="M130" s="228">
        <f t="shared" si="17"/>
        <v>0</v>
      </c>
      <c r="N130" s="263">
        <f t="shared" si="17"/>
        <v>141342117830.25049</v>
      </c>
      <c r="P130" s="229">
        <f t="shared" si="10"/>
        <v>352636513685.80048</v>
      </c>
      <c r="Q130" s="230">
        <f>+Q2-Q84</f>
        <v>13366925920</v>
      </c>
      <c r="R130" s="230">
        <f>+R2-R84</f>
        <v>2953429725</v>
      </c>
      <c r="S130" s="230">
        <f>+S2-S84</f>
        <v>16320355645</v>
      </c>
      <c r="U130" s="226">
        <f t="shared" si="12"/>
        <v>437332442884.80048</v>
      </c>
    </row>
    <row r="131" spans="1:21" ht="16">
      <c r="A131" s="221">
        <v>3</v>
      </c>
      <c r="B131" s="221" t="s">
        <v>489</v>
      </c>
      <c r="C131" s="258">
        <v>0</v>
      </c>
      <c r="D131" s="258"/>
      <c r="E131" s="259"/>
      <c r="F131" s="258">
        <f t="shared" ref="F131:F194" si="18">+C131+D131+E131</f>
        <v>0</v>
      </c>
      <c r="G131" s="258"/>
      <c r="H131" s="260">
        <v>358023593828</v>
      </c>
      <c r="I131" s="222">
        <v>0</v>
      </c>
      <c r="K131" s="225">
        <f t="shared" si="14"/>
        <v>0</v>
      </c>
      <c r="L131" s="228">
        <f t="shared" si="16"/>
        <v>0</v>
      </c>
      <c r="N131" s="225">
        <f t="shared" si="15"/>
        <v>0</v>
      </c>
      <c r="P131" s="229">
        <f t="shared" ref="P131:P194" si="19">+H131+N131+O131</f>
        <v>358023593828</v>
      </c>
      <c r="Q131" s="230"/>
      <c r="R131" s="231"/>
      <c r="S131" s="229"/>
      <c r="U131" s="226">
        <f t="shared" ref="U131:U194" si="20">+K131+P131+S131+T131</f>
        <v>358023593828</v>
      </c>
    </row>
    <row r="132" spans="1:21" ht="16">
      <c r="A132" s="232">
        <v>31</v>
      </c>
      <c r="B132" s="232" t="s">
        <v>490</v>
      </c>
      <c r="C132" s="258">
        <v>640354915998.57129</v>
      </c>
      <c r="D132" s="258">
        <f>+D133</f>
        <v>38720126900</v>
      </c>
      <c r="E132" s="259"/>
      <c r="F132" s="258">
        <f t="shared" si="18"/>
        <v>679075042898.57129</v>
      </c>
      <c r="G132" s="258"/>
      <c r="H132" s="260">
        <v>358023593828</v>
      </c>
      <c r="I132" s="222">
        <v>36246558321</v>
      </c>
      <c r="K132" s="225">
        <f t="shared" ref="K132:K195" si="21">+I132+J132</f>
        <v>36246558321</v>
      </c>
      <c r="L132" s="228">
        <f t="shared" si="16"/>
        <v>679075042898.57129</v>
      </c>
      <c r="N132" s="225">
        <f t="shared" si="15"/>
        <v>679075042898.57129</v>
      </c>
      <c r="P132" s="229">
        <f t="shared" si="19"/>
        <v>1037098636726.5713</v>
      </c>
      <c r="Q132" s="231">
        <f>+Q133+Q138+Q139+Q140</f>
        <v>-8901476912</v>
      </c>
      <c r="R132" s="231">
        <f>+R133+R138+R139+R140</f>
        <v>-651930142</v>
      </c>
      <c r="S132" s="231">
        <f>+S133+S138+S139+S140</f>
        <v>-9553407054</v>
      </c>
      <c r="U132" s="226">
        <f t="shared" si="20"/>
        <v>1063791787993.5713</v>
      </c>
    </row>
    <row r="133" spans="1:21" ht="16">
      <c r="A133" s="233">
        <v>311</v>
      </c>
      <c r="B133" s="233" t="s">
        <v>491</v>
      </c>
      <c r="C133" s="255">
        <v>639980923239.57129</v>
      </c>
      <c r="D133" s="255">
        <f>+D134+D135</f>
        <v>38720126900</v>
      </c>
      <c r="E133" s="256"/>
      <c r="F133" s="255">
        <f t="shared" si="18"/>
        <v>678701050139.57129</v>
      </c>
      <c r="G133" s="255"/>
      <c r="H133" s="257">
        <v>350678919142</v>
      </c>
      <c r="I133" s="222">
        <v>36183192770</v>
      </c>
      <c r="K133" s="225">
        <f t="shared" si="21"/>
        <v>36183192770</v>
      </c>
      <c r="L133" s="228">
        <f t="shared" si="16"/>
        <v>678701050139.57129</v>
      </c>
      <c r="N133" s="225">
        <f t="shared" si="15"/>
        <v>678701050139.57129</v>
      </c>
      <c r="P133" s="229">
        <f t="shared" si="19"/>
        <v>1029379969281.5713</v>
      </c>
      <c r="Q133" s="230">
        <v>-69689440722</v>
      </c>
      <c r="R133" s="231">
        <v>182359562</v>
      </c>
      <c r="S133" s="229">
        <f t="shared" ref="S133:S196" si="22">+Q133+R133</f>
        <v>-69507081160</v>
      </c>
      <c r="U133" s="226">
        <f t="shared" si="20"/>
        <v>996056080891.57129</v>
      </c>
    </row>
    <row r="134" spans="1:21" ht="16">
      <c r="A134" s="234">
        <v>3111</v>
      </c>
      <c r="B134" s="234" t="s">
        <v>492</v>
      </c>
      <c r="C134" s="258">
        <v>12397265104</v>
      </c>
      <c r="D134" s="258">
        <v>18471703444</v>
      </c>
      <c r="E134" s="259"/>
      <c r="F134" s="258">
        <f t="shared" si="18"/>
        <v>30868968548</v>
      </c>
      <c r="G134" s="258"/>
      <c r="H134" s="260">
        <v>345549539191</v>
      </c>
      <c r="I134" s="222">
        <v>26566460720</v>
      </c>
      <c r="K134" s="225">
        <f t="shared" si="21"/>
        <v>26566460720</v>
      </c>
      <c r="L134" s="228">
        <f t="shared" si="16"/>
        <v>30868968548</v>
      </c>
      <c r="N134" s="225">
        <f t="shared" si="15"/>
        <v>30868968548</v>
      </c>
      <c r="P134" s="229">
        <f t="shared" si="19"/>
        <v>376418507739</v>
      </c>
      <c r="Q134" s="230">
        <v>-70112830992</v>
      </c>
      <c r="R134" s="231">
        <v>-838660361</v>
      </c>
      <c r="S134" s="229">
        <f t="shared" si="22"/>
        <v>-70951491353</v>
      </c>
      <c r="U134" s="226">
        <f t="shared" si="20"/>
        <v>332033477106</v>
      </c>
    </row>
    <row r="135" spans="1:21" ht="16">
      <c r="A135" s="234">
        <v>3112</v>
      </c>
      <c r="B135" s="234" t="s">
        <v>493</v>
      </c>
      <c r="C135" s="258">
        <v>27815972203</v>
      </c>
      <c r="D135" s="258">
        <v>20248423456</v>
      </c>
      <c r="E135" s="259"/>
      <c r="F135" s="258">
        <f t="shared" si="18"/>
        <v>48064395659</v>
      </c>
      <c r="G135" s="258"/>
      <c r="H135" s="260">
        <v>5129379951</v>
      </c>
      <c r="I135" s="222">
        <v>8781752554</v>
      </c>
      <c r="K135" s="225">
        <f t="shared" si="21"/>
        <v>8781752554</v>
      </c>
      <c r="L135" s="228">
        <f t="shared" si="16"/>
        <v>48064395659</v>
      </c>
      <c r="N135" s="225">
        <f t="shared" si="15"/>
        <v>48064395659</v>
      </c>
      <c r="P135" s="229">
        <f t="shared" si="19"/>
        <v>53193775610</v>
      </c>
      <c r="Q135" s="230">
        <v>423390270</v>
      </c>
      <c r="R135" s="231">
        <v>1021019923</v>
      </c>
      <c r="S135" s="229">
        <f t="shared" si="22"/>
        <v>1444410193</v>
      </c>
      <c r="U135" s="226">
        <f t="shared" si="20"/>
        <v>63419938357</v>
      </c>
    </row>
    <row r="136" spans="1:21" ht="16">
      <c r="A136" s="234">
        <v>3113</v>
      </c>
      <c r="B136" s="234" t="s">
        <v>494</v>
      </c>
      <c r="C136" s="255">
        <v>599767685932.57129</v>
      </c>
      <c r="D136" s="255"/>
      <c r="E136" s="256"/>
      <c r="F136" s="255">
        <f t="shared" si="18"/>
        <v>599767685932.57129</v>
      </c>
      <c r="G136" s="255"/>
      <c r="H136" s="257">
        <v>0</v>
      </c>
      <c r="I136" s="222">
        <v>834979496</v>
      </c>
      <c r="K136" s="225">
        <f t="shared" si="21"/>
        <v>834979496</v>
      </c>
      <c r="L136" s="228">
        <f t="shared" si="16"/>
        <v>599767685932.57129</v>
      </c>
      <c r="N136" s="225">
        <f t="shared" si="15"/>
        <v>599767685932.57129</v>
      </c>
      <c r="P136" s="229">
        <f t="shared" si="19"/>
        <v>599767685932.57129</v>
      </c>
      <c r="Q136" s="230">
        <v>0</v>
      </c>
      <c r="R136" s="231">
        <v>0</v>
      </c>
      <c r="S136" s="229">
        <f t="shared" si="22"/>
        <v>0</v>
      </c>
      <c r="U136" s="226">
        <f t="shared" si="20"/>
        <v>600602665428.57129</v>
      </c>
    </row>
    <row r="137" spans="1:21" ht="16">
      <c r="A137" s="234">
        <v>3114</v>
      </c>
      <c r="B137" s="234" t="s">
        <v>495</v>
      </c>
      <c r="C137" s="255"/>
      <c r="D137" s="255"/>
      <c r="E137" s="256"/>
      <c r="F137" s="255">
        <f t="shared" si="18"/>
        <v>0</v>
      </c>
      <c r="G137" s="255"/>
      <c r="H137" s="257">
        <v>0</v>
      </c>
      <c r="I137" s="222"/>
      <c r="K137" s="225">
        <f t="shared" si="21"/>
        <v>0</v>
      </c>
      <c r="L137" s="228">
        <f t="shared" si="16"/>
        <v>0</v>
      </c>
      <c r="N137" s="225">
        <f t="shared" si="15"/>
        <v>0</v>
      </c>
      <c r="P137" s="229">
        <f t="shared" si="19"/>
        <v>0</v>
      </c>
      <c r="Q137" s="230">
        <v>0</v>
      </c>
      <c r="R137" s="231">
        <v>0</v>
      </c>
      <c r="S137" s="229">
        <f t="shared" si="22"/>
        <v>0</v>
      </c>
      <c r="U137" s="226">
        <f t="shared" si="20"/>
        <v>0</v>
      </c>
    </row>
    <row r="138" spans="1:21" ht="16">
      <c r="A138" s="233">
        <v>312</v>
      </c>
      <c r="B138" s="233" t="s">
        <v>496</v>
      </c>
      <c r="C138" s="255">
        <v>349217759</v>
      </c>
      <c r="D138" s="255"/>
      <c r="E138" s="256"/>
      <c r="F138" s="255">
        <f t="shared" si="18"/>
        <v>349217759</v>
      </c>
      <c r="G138" s="255"/>
      <c r="H138" s="257">
        <v>7344674686</v>
      </c>
      <c r="I138" s="222">
        <v>0</v>
      </c>
      <c r="K138" s="225">
        <f t="shared" si="21"/>
        <v>0</v>
      </c>
      <c r="L138" s="228">
        <f t="shared" si="16"/>
        <v>349217759</v>
      </c>
      <c r="N138" s="225">
        <f t="shared" si="15"/>
        <v>349217759</v>
      </c>
      <c r="P138" s="229">
        <f t="shared" si="19"/>
        <v>7693892445</v>
      </c>
      <c r="Q138" s="230">
        <v>60787963810</v>
      </c>
      <c r="R138" s="231">
        <v>-834289704</v>
      </c>
      <c r="S138" s="229">
        <f t="shared" si="22"/>
        <v>59953674106</v>
      </c>
      <c r="U138" s="226">
        <f t="shared" si="20"/>
        <v>67647566551</v>
      </c>
    </row>
    <row r="139" spans="1:21" ht="16">
      <c r="A139" s="233">
        <v>313</v>
      </c>
      <c r="B139" s="233" t="s">
        <v>497</v>
      </c>
      <c r="C139" s="258">
        <v>24775000</v>
      </c>
      <c r="D139" s="258"/>
      <c r="E139" s="259"/>
      <c r="F139" s="258">
        <f t="shared" si="18"/>
        <v>24775000</v>
      </c>
      <c r="G139" s="258"/>
      <c r="H139" s="260">
        <v>0</v>
      </c>
      <c r="I139" s="222">
        <v>0</v>
      </c>
      <c r="K139" s="225">
        <f t="shared" si="21"/>
        <v>0</v>
      </c>
      <c r="L139" s="228">
        <f t="shared" si="16"/>
        <v>24775000</v>
      </c>
      <c r="N139" s="225">
        <f t="shared" si="15"/>
        <v>24775000</v>
      </c>
      <c r="P139" s="229">
        <f t="shared" si="19"/>
        <v>24775000</v>
      </c>
      <c r="Q139" s="230">
        <v>0</v>
      </c>
      <c r="R139" s="231">
        <v>0</v>
      </c>
      <c r="S139" s="229">
        <f t="shared" si="22"/>
        <v>0</v>
      </c>
      <c r="U139" s="226">
        <f t="shared" si="20"/>
        <v>24775000</v>
      </c>
    </row>
    <row r="140" spans="1:21" ht="16">
      <c r="A140" s="233">
        <v>314</v>
      </c>
      <c r="B140" s="233" t="s">
        <v>498</v>
      </c>
      <c r="C140" s="258">
        <v>0</v>
      </c>
      <c r="D140" s="258"/>
      <c r="E140" s="259"/>
      <c r="F140" s="258">
        <f t="shared" si="18"/>
        <v>0</v>
      </c>
      <c r="G140" s="258"/>
      <c r="H140" s="260">
        <v>0</v>
      </c>
      <c r="I140" s="222">
        <v>63365551</v>
      </c>
      <c r="K140" s="225">
        <f t="shared" si="21"/>
        <v>63365551</v>
      </c>
      <c r="L140" s="228">
        <f t="shared" si="16"/>
        <v>0</v>
      </c>
      <c r="N140" s="225">
        <f t="shared" si="15"/>
        <v>0</v>
      </c>
      <c r="P140" s="229">
        <f t="shared" si="19"/>
        <v>0</v>
      </c>
      <c r="Q140" s="230">
        <v>0</v>
      </c>
      <c r="R140" s="231">
        <v>0</v>
      </c>
      <c r="S140" s="229">
        <f t="shared" si="22"/>
        <v>0</v>
      </c>
      <c r="U140" s="226">
        <f t="shared" si="20"/>
        <v>63365551</v>
      </c>
    </row>
    <row r="141" spans="1:21" ht="16">
      <c r="A141" s="234">
        <v>3141</v>
      </c>
      <c r="B141" s="234" t="s">
        <v>499</v>
      </c>
      <c r="C141" s="258"/>
      <c r="D141" s="258"/>
      <c r="E141" s="259"/>
      <c r="F141" s="258">
        <f t="shared" si="18"/>
        <v>0</v>
      </c>
      <c r="G141" s="258"/>
      <c r="H141" s="260">
        <v>761340576</v>
      </c>
      <c r="I141" s="222"/>
      <c r="K141" s="225">
        <f t="shared" si="21"/>
        <v>0</v>
      </c>
      <c r="L141" s="228">
        <f t="shared" si="16"/>
        <v>0</v>
      </c>
      <c r="N141" s="225">
        <f t="shared" si="15"/>
        <v>0</v>
      </c>
      <c r="P141" s="229">
        <f t="shared" si="19"/>
        <v>761340576</v>
      </c>
      <c r="Q141" s="230">
        <v>0</v>
      </c>
      <c r="R141" s="231">
        <v>0</v>
      </c>
      <c r="S141" s="229">
        <f t="shared" si="22"/>
        <v>0</v>
      </c>
      <c r="U141" s="226">
        <f t="shared" si="20"/>
        <v>761340576</v>
      </c>
    </row>
    <row r="142" spans="1:21" ht="16">
      <c r="A142" s="234">
        <v>3142</v>
      </c>
      <c r="B142" s="234" t="s">
        <v>500</v>
      </c>
      <c r="C142" s="258"/>
      <c r="D142" s="258"/>
      <c r="E142" s="259"/>
      <c r="F142" s="258">
        <f t="shared" si="18"/>
        <v>0</v>
      </c>
      <c r="G142" s="258"/>
      <c r="H142" s="260">
        <v>0</v>
      </c>
      <c r="I142" s="222"/>
      <c r="K142" s="225">
        <f t="shared" si="21"/>
        <v>0</v>
      </c>
      <c r="L142" s="228">
        <f t="shared" si="16"/>
        <v>0</v>
      </c>
      <c r="N142" s="225">
        <f t="shared" si="15"/>
        <v>0</v>
      </c>
      <c r="P142" s="229">
        <f t="shared" si="19"/>
        <v>0</v>
      </c>
      <c r="Q142" s="230">
        <v>0</v>
      </c>
      <c r="R142" s="231">
        <v>0</v>
      </c>
      <c r="S142" s="229">
        <f t="shared" si="22"/>
        <v>0</v>
      </c>
      <c r="U142" s="226">
        <f t="shared" si="20"/>
        <v>0</v>
      </c>
    </row>
    <row r="143" spans="1:21" ht="16">
      <c r="A143" s="234">
        <v>3143</v>
      </c>
      <c r="B143" s="234" t="s">
        <v>501</v>
      </c>
      <c r="C143" s="255"/>
      <c r="D143" s="255"/>
      <c r="E143" s="256"/>
      <c r="F143" s="255">
        <f t="shared" si="18"/>
        <v>0</v>
      </c>
      <c r="G143" s="255"/>
      <c r="H143" s="257">
        <v>0</v>
      </c>
      <c r="I143" s="222"/>
      <c r="K143" s="225">
        <f t="shared" si="21"/>
        <v>0</v>
      </c>
      <c r="L143" s="228">
        <f t="shared" si="16"/>
        <v>0</v>
      </c>
      <c r="N143" s="225">
        <f t="shared" si="15"/>
        <v>0</v>
      </c>
      <c r="P143" s="229">
        <f t="shared" si="19"/>
        <v>0</v>
      </c>
      <c r="Q143" s="230">
        <v>0</v>
      </c>
      <c r="R143" s="231">
        <v>0</v>
      </c>
      <c r="S143" s="229">
        <f t="shared" si="22"/>
        <v>0</v>
      </c>
      <c r="U143" s="226">
        <f t="shared" si="20"/>
        <v>0</v>
      </c>
    </row>
    <row r="144" spans="1:21" ht="16">
      <c r="A144" s="234">
        <v>3144</v>
      </c>
      <c r="B144" s="234" t="s">
        <v>502</v>
      </c>
      <c r="C144" s="255"/>
      <c r="D144" s="255"/>
      <c r="E144" s="256"/>
      <c r="F144" s="255">
        <f t="shared" si="18"/>
        <v>0</v>
      </c>
      <c r="G144" s="255"/>
      <c r="H144" s="257">
        <v>334903077</v>
      </c>
      <c r="I144" s="222"/>
      <c r="K144" s="225">
        <f t="shared" si="21"/>
        <v>0</v>
      </c>
      <c r="L144" s="228">
        <f t="shared" si="16"/>
        <v>0</v>
      </c>
      <c r="N144" s="225">
        <f t="shared" si="15"/>
        <v>0</v>
      </c>
      <c r="P144" s="229">
        <f t="shared" si="19"/>
        <v>334903077</v>
      </c>
      <c r="Q144" s="230">
        <v>0</v>
      </c>
      <c r="R144" s="231">
        <v>0</v>
      </c>
      <c r="S144" s="229">
        <f t="shared" si="22"/>
        <v>0</v>
      </c>
      <c r="U144" s="226">
        <f t="shared" si="20"/>
        <v>334903077</v>
      </c>
    </row>
    <row r="145" spans="1:21" ht="16">
      <c r="A145" s="261" t="s">
        <v>487</v>
      </c>
      <c r="B145" s="261" t="s">
        <v>503</v>
      </c>
      <c r="C145" s="258">
        <f>+C130-C132</f>
        <v>-537732925068.3208</v>
      </c>
      <c r="D145" s="258">
        <f>+D130-D132</f>
        <v>0</v>
      </c>
      <c r="E145" s="259">
        <f>+E130-E132</f>
        <v>0</v>
      </c>
      <c r="F145" s="258">
        <f>+F130-F132</f>
        <v>-537732925068.3208</v>
      </c>
      <c r="G145" s="258"/>
      <c r="H145" s="260">
        <v>-146729197972.45001</v>
      </c>
      <c r="I145" s="222">
        <f>I2-I84-I132</f>
        <v>32129015233</v>
      </c>
      <c r="K145" s="225">
        <f t="shared" si="21"/>
        <v>32129015233</v>
      </c>
      <c r="L145" s="228">
        <f t="shared" si="16"/>
        <v>-537732925068.3208</v>
      </c>
      <c r="M145" s="228">
        <f>+G145</f>
        <v>0</v>
      </c>
      <c r="N145" s="225">
        <f t="shared" si="15"/>
        <v>-537732925068.3208</v>
      </c>
      <c r="P145" s="229">
        <f t="shared" si="19"/>
        <v>-684462123040.77075</v>
      </c>
      <c r="Q145" s="230">
        <f>+Q130-Q132</f>
        <v>22268402832</v>
      </c>
      <c r="R145" s="230">
        <f>+R130-R132</f>
        <v>3605359867</v>
      </c>
      <c r="S145" s="230">
        <f>+S130-S132</f>
        <v>25873762699</v>
      </c>
      <c r="T145" s="220">
        <f>+T2-T84</f>
        <v>-0.27001953125</v>
      </c>
      <c r="U145" s="226">
        <f t="shared" si="20"/>
        <v>-626459345109.04077</v>
      </c>
    </row>
    <row r="146" spans="1:21" ht="16">
      <c r="A146" s="232">
        <v>32</v>
      </c>
      <c r="B146" s="232" t="s">
        <v>504</v>
      </c>
      <c r="C146" s="258">
        <v>277462667664.79999</v>
      </c>
      <c r="D146" s="258"/>
      <c r="E146" s="259"/>
      <c r="F146" s="258">
        <f t="shared" si="18"/>
        <v>277462667664.79999</v>
      </c>
      <c r="G146" s="258"/>
      <c r="H146" s="260">
        <v>-60051166486</v>
      </c>
      <c r="I146" s="222">
        <f>+I155</f>
        <v>33788186477</v>
      </c>
      <c r="K146" s="225">
        <f t="shared" si="21"/>
        <v>33788186477</v>
      </c>
      <c r="L146" s="228">
        <f t="shared" si="16"/>
        <v>277462667664.79999</v>
      </c>
      <c r="N146" s="225">
        <f t="shared" si="15"/>
        <v>277462667664.79999</v>
      </c>
      <c r="O146" s="227">
        <f>+O154</f>
        <v>-22900000000</v>
      </c>
      <c r="P146" s="229">
        <f t="shared" si="19"/>
        <v>194511501178.79999</v>
      </c>
      <c r="Q146" s="231">
        <f>+Q155+Q164</f>
        <v>34091833159</v>
      </c>
      <c r="R146" s="231">
        <f>+R155+R164</f>
        <v>5306774605</v>
      </c>
      <c r="S146" s="229">
        <f>+Q146+R146</f>
        <v>39398607764</v>
      </c>
      <c r="T146" s="220">
        <f>+T155</f>
        <v>-44316217655</v>
      </c>
      <c r="U146" s="226">
        <f t="shared" si="20"/>
        <v>223382077764.79999</v>
      </c>
    </row>
    <row r="147" spans="1:21" ht="16">
      <c r="A147" s="234">
        <v>3201</v>
      </c>
      <c r="B147" s="234" t="s">
        <v>505</v>
      </c>
      <c r="C147" s="258">
        <f>+C156+C165</f>
        <v>0</v>
      </c>
      <c r="D147" s="258"/>
      <c r="E147" s="259"/>
      <c r="F147" s="258">
        <f t="shared" si="18"/>
        <v>0</v>
      </c>
      <c r="G147" s="258"/>
      <c r="H147" s="260">
        <v>0</v>
      </c>
      <c r="I147" s="222"/>
      <c r="K147" s="225">
        <f t="shared" si="21"/>
        <v>0</v>
      </c>
      <c r="L147" s="228">
        <f t="shared" si="16"/>
        <v>0</v>
      </c>
      <c r="N147" s="225">
        <f t="shared" si="15"/>
        <v>0</v>
      </c>
      <c r="P147" s="229">
        <f t="shared" si="19"/>
        <v>0</v>
      </c>
      <c r="Q147" s="230"/>
      <c r="R147" s="231">
        <v>1188556445</v>
      </c>
      <c r="S147" s="229">
        <f t="shared" si="22"/>
        <v>1188556445</v>
      </c>
      <c r="U147" s="226">
        <f t="shared" si="20"/>
        <v>1188556445</v>
      </c>
    </row>
    <row r="148" spans="1:21" ht="16">
      <c r="A148" s="234">
        <v>3202</v>
      </c>
      <c r="B148" s="234" t="s">
        <v>506</v>
      </c>
      <c r="C148" s="258">
        <f>+C157</f>
        <v>100530789917.8</v>
      </c>
      <c r="D148" s="258"/>
      <c r="E148" s="259"/>
      <c r="F148" s="258">
        <f t="shared" si="18"/>
        <v>100530789917.8</v>
      </c>
      <c r="G148" s="258"/>
      <c r="H148" s="260">
        <v>-58168761836</v>
      </c>
      <c r="I148" s="222"/>
      <c r="K148" s="225">
        <f t="shared" si="21"/>
        <v>0</v>
      </c>
      <c r="L148" s="228">
        <f t="shared" si="16"/>
        <v>100530789917.8</v>
      </c>
      <c r="N148" s="225">
        <f t="shared" si="15"/>
        <v>100530789917.8</v>
      </c>
      <c r="P148" s="229">
        <f t="shared" si="19"/>
        <v>42362028081.800003</v>
      </c>
      <c r="Q148" s="230">
        <f>+Q157</f>
        <v>25958317366</v>
      </c>
      <c r="R148" s="231">
        <v>0</v>
      </c>
      <c r="S148" s="229">
        <f t="shared" si="22"/>
        <v>25958317366</v>
      </c>
      <c r="U148" s="226">
        <f t="shared" si="20"/>
        <v>68320345447.800003</v>
      </c>
    </row>
    <row r="149" spans="1:21" ht="16">
      <c r="A149" s="234">
        <v>3203</v>
      </c>
      <c r="B149" s="234" t="s">
        <v>507</v>
      </c>
      <c r="C149" s="264"/>
      <c r="D149" s="264"/>
      <c r="E149" s="265"/>
      <c r="F149" s="264">
        <f t="shared" si="18"/>
        <v>0</v>
      </c>
      <c r="G149" s="264"/>
      <c r="H149" s="266">
        <v>0</v>
      </c>
      <c r="I149" s="222"/>
      <c r="K149" s="225">
        <f t="shared" si="21"/>
        <v>0</v>
      </c>
      <c r="L149" s="228">
        <f t="shared" si="16"/>
        <v>0</v>
      </c>
      <c r="N149" s="225">
        <f t="shared" ref="N149:N203" si="23">+L149+M149</f>
        <v>0</v>
      </c>
      <c r="P149" s="229">
        <f t="shared" si="19"/>
        <v>0</v>
      </c>
      <c r="Q149" s="230"/>
      <c r="R149" s="231">
        <v>1203068496</v>
      </c>
      <c r="S149" s="229">
        <f t="shared" si="22"/>
        <v>1203068496</v>
      </c>
      <c r="U149" s="226">
        <f t="shared" si="20"/>
        <v>1203068496</v>
      </c>
    </row>
    <row r="150" spans="1:21" ht="16">
      <c r="A150" s="234">
        <v>3204</v>
      </c>
      <c r="B150" s="234" t="s">
        <v>508</v>
      </c>
      <c r="C150" s="264">
        <f>+C159</f>
        <v>168542413180</v>
      </c>
      <c r="D150" s="264"/>
      <c r="E150" s="265"/>
      <c r="F150" s="264">
        <f t="shared" si="18"/>
        <v>168542413180</v>
      </c>
      <c r="G150" s="264"/>
      <c r="H150" s="266">
        <v>-841277468</v>
      </c>
      <c r="I150" s="222"/>
      <c r="K150" s="225">
        <f t="shared" si="21"/>
        <v>0</v>
      </c>
      <c r="L150" s="228">
        <f t="shared" si="16"/>
        <v>168542413180</v>
      </c>
      <c r="N150" s="225">
        <f t="shared" si="23"/>
        <v>168542413180</v>
      </c>
      <c r="P150" s="229">
        <f t="shared" si="19"/>
        <v>167701135712</v>
      </c>
      <c r="Q150" s="230">
        <f>+Q159</f>
        <v>-1547439608</v>
      </c>
      <c r="R150" s="231">
        <v>0</v>
      </c>
      <c r="S150" s="229">
        <f t="shared" si="22"/>
        <v>-1547439608</v>
      </c>
      <c r="U150" s="226">
        <f t="shared" si="20"/>
        <v>166153696104</v>
      </c>
    </row>
    <row r="151" spans="1:21" ht="16">
      <c r="A151" s="234">
        <v>3205</v>
      </c>
      <c r="B151" s="234" t="s">
        <v>509</v>
      </c>
      <c r="C151" s="267"/>
      <c r="D151" s="267"/>
      <c r="E151" s="268"/>
      <c r="F151" s="267">
        <f t="shared" si="18"/>
        <v>0</v>
      </c>
      <c r="G151" s="267"/>
      <c r="H151" s="269">
        <v>498872495</v>
      </c>
      <c r="I151" s="222"/>
      <c r="K151" s="225">
        <f t="shared" si="21"/>
        <v>0</v>
      </c>
      <c r="L151" s="228">
        <f t="shared" si="16"/>
        <v>0</v>
      </c>
      <c r="N151" s="225">
        <f t="shared" si="23"/>
        <v>0</v>
      </c>
      <c r="P151" s="229">
        <f t="shared" si="19"/>
        <v>498872495</v>
      </c>
      <c r="Q151" s="230">
        <v>0</v>
      </c>
      <c r="R151" s="231">
        <v>0</v>
      </c>
      <c r="S151" s="229">
        <f t="shared" si="22"/>
        <v>0</v>
      </c>
      <c r="U151" s="226">
        <f t="shared" si="20"/>
        <v>498872495</v>
      </c>
    </row>
    <row r="152" spans="1:21" ht="16">
      <c r="A152" s="234">
        <v>3206</v>
      </c>
      <c r="B152" s="234" t="s">
        <v>510</v>
      </c>
      <c r="C152" s="270"/>
      <c r="D152" s="270"/>
      <c r="E152" s="268"/>
      <c r="F152" s="270">
        <f t="shared" si="18"/>
        <v>0</v>
      </c>
      <c r="G152" s="270"/>
      <c r="H152" s="269">
        <v>0</v>
      </c>
      <c r="I152" s="222"/>
      <c r="K152" s="225">
        <f t="shared" si="21"/>
        <v>0</v>
      </c>
      <c r="L152" s="228">
        <f t="shared" si="16"/>
        <v>0</v>
      </c>
      <c r="N152" s="225">
        <f t="shared" si="23"/>
        <v>0</v>
      </c>
      <c r="P152" s="229">
        <f t="shared" si="19"/>
        <v>0</v>
      </c>
      <c r="Q152" s="230">
        <v>0</v>
      </c>
      <c r="R152" s="231">
        <v>0</v>
      </c>
      <c r="S152" s="229">
        <f t="shared" si="22"/>
        <v>0</v>
      </c>
      <c r="U152" s="226">
        <f t="shared" si="20"/>
        <v>0</v>
      </c>
    </row>
    <row r="153" spans="1:21" ht="16">
      <c r="A153" s="234">
        <v>3207</v>
      </c>
      <c r="B153" s="234" t="s">
        <v>511</v>
      </c>
      <c r="C153" s="270"/>
      <c r="D153" s="270"/>
      <c r="E153" s="268"/>
      <c r="F153" s="270">
        <f t="shared" si="18"/>
        <v>0</v>
      </c>
      <c r="G153" s="270"/>
      <c r="H153" s="269">
        <v>0</v>
      </c>
      <c r="I153" s="222"/>
      <c r="K153" s="225">
        <f t="shared" si="21"/>
        <v>0</v>
      </c>
      <c r="L153" s="228">
        <f t="shared" si="16"/>
        <v>0</v>
      </c>
      <c r="N153" s="225">
        <f t="shared" si="23"/>
        <v>0</v>
      </c>
      <c r="P153" s="229">
        <f t="shared" si="19"/>
        <v>0</v>
      </c>
      <c r="Q153" s="230">
        <v>9680955401</v>
      </c>
      <c r="R153" s="231">
        <v>2915149664</v>
      </c>
      <c r="S153" s="229">
        <f t="shared" si="22"/>
        <v>12596105065</v>
      </c>
      <c r="U153" s="226">
        <f t="shared" si="20"/>
        <v>12596105065</v>
      </c>
    </row>
    <row r="154" spans="1:21" ht="16">
      <c r="A154" s="234">
        <v>3208</v>
      </c>
      <c r="B154" s="234" t="s">
        <v>512</v>
      </c>
      <c r="C154" s="270">
        <f>+C163</f>
        <v>8389464567</v>
      </c>
      <c r="D154" s="270"/>
      <c r="E154" s="268"/>
      <c r="F154" s="270">
        <f t="shared" si="18"/>
        <v>8389464567</v>
      </c>
      <c r="G154" s="270"/>
      <c r="H154" s="269">
        <v>-1539999677</v>
      </c>
      <c r="I154" s="222"/>
      <c r="K154" s="225">
        <f t="shared" si="21"/>
        <v>0</v>
      </c>
      <c r="L154" s="228">
        <f t="shared" si="16"/>
        <v>8389464567</v>
      </c>
      <c r="N154" s="225">
        <f t="shared" si="23"/>
        <v>8389464567</v>
      </c>
      <c r="O154" s="227">
        <f>+O163</f>
        <v>-22900000000</v>
      </c>
      <c r="P154" s="229">
        <f t="shared" si="19"/>
        <v>-16050535110</v>
      </c>
      <c r="Q154" s="230"/>
      <c r="R154" s="231"/>
      <c r="S154" s="229">
        <f t="shared" si="22"/>
        <v>0</v>
      </c>
      <c r="U154" s="226">
        <f t="shared" si="20"/>
        <v>-16050535110</v>
      </c>
    </row>
    <row r="155" spans="1:21" ht="16">
      <c r="A155" s="233">
        <v>321</v>
      </c>
      <c r="B155" s="233" t="s">
        <v>513</v>
      </c>
      <c r="C155" s="270">
        <v>277462667664.79999</v>
      </c>
      <c r="D155" s="270"/>
      <c r="E155" s="268"/>
      <c r="F155" s="270">
        <f t="shared" si="18"/>
        <v>277462667664.79999</v>
      </c>
      <c r="G155" s="270"/>
      <c r="H155" s="269">
        <v>-60051166486</v>
      </c>
      <c r="I155" s="222">
        <v>33788186477</v>
      </c>
      <c r="K155" s="225">
        <f t="shared" si="21"/>
        <v>33788186477</v>
      </c>
      <c r="L155" s="228">
        <f t="shared" si="16"/>
        <v>277462667664.79999</v>
      </c>
      <c r="N155" s="225">
        <f t="shared" si="23"/>
        <v>277462667664.79999</v>
      </c>
      <c r="P155" s="229">
        <f t="shared" si="19"/>
        <v>217411501178.79999</v>
      </c>
      <c r="Q155" s="230">
        <v>34091833159</v>
      </c>
      <c r="R155" s="231">
        <v>5306774605</v>
      </c>
      <c r="S155" s="229">
        <f t="shared" si="22"/>
        <v>39398607764</v>
      </c>
      <c r="T155" s="220">
        <f>+T157+T158</f>
        <v>-44316217655</v>
      </c>
      <c r="U155" s="226">
        <f t="shared" si="20"/>
        <v>246282077764.79999</v>
      </c>
    </row>
    <row r="156" spans="1:21" ht="16">
      <c r="A156" s="234">
        <v>3211</v>
      </c>
      <c r="B156" s="234" t="s">
        <v>514</v>
      </c>
      <c r="C156" s="270"/>
      <c r="D156" s="270"/>
      <c r="E156" s="268"/>
      <c r="F156" s="270">
        <f t="shared" si="18"/>
        <v>0</v>
      </c>
      <c r="G156" s="270"/>
      <c r="H156" s="269">
        <v>0</v>
      </c>
      <c r="I156" s="222">
        <v>0</v>
      </c>
      <c r="K156" s="225">
        <f t="shared" si="21"/>
        <v>0</v>
      </c>
      <c r="L156" s="228">
        <f t="shared" si="16"/>
        <v>0</v>
      </c>
      <c r="N156" s="225">
        <f t="shared" si="23"/>
        <v>0</v>
      </c>
      <c r="P156" s="229">
        <f t="shared" si="19"/>
        <v>0</v>
      </c>
      <c r="Q156" s="230">
        <v>0</v>
      </c>
      <c r="R156" s="231">
        <v>0</v>
      </c>
      <c r="S156" s="229">
        <f t="shared" si="22"/>
        <v>0</v>
      </c>
      <c r="U156" s="226">
        <f t="shared" si="20"/>
        <v>0</v>
      </c>
    </row>
    <row r="157" spans="1:21" ht="16">
      <c r="A157" s="234">
        <v>3212</v>
      </c>
      <c r="B157" s="234" t="s">
        <v>515</v>
      </c>
      <c r="C157" s="270">
        <v>100530789917.8</v>
      </c>
      <c r="D157" s="270"/>
      <c r="E157" s="268"/>
      <c r="F157" s="270">
        <f t="shared" si="18"/>
        <v>100530789917.8</v>
      </c>
      <c r="G157" s="270"/>
      <c r="H157" s="269">
        <v>-58168761836</v>
      </c>
      <c r="I157" s="222">
        <v>28514527655</v>
      </c>
      <c r="K157" s="225">
        <f t="shared" si="21"/>
        <v>28514527655</v>
      </c>
      <c r="L157" s="228">
        <f t="shared" si="16"/>
        <v>100530789917.8</v>
      </c>
      <c r="N157" s="225">
        <f t="shared" si="23"/>
        <v>100530789917.8</v>
      </c>
      <c r="P157" s="229">
        <f t="shared" si="19"/>
        <v>42362028081.800003</v>
      </c>
      <c r="Q157" s="230">
        <v>25958317366</v>
      </c>
      <c r="R157" s="231">
        <v>1188556445</v>
      </c>
      <c r="S157" s="229">
        <f t="shared" si="22"/>
        <v>27146873811</v>
      </c>
      <c r="T157" s="220">
        <f>-28514527655-15000000000</f>
        <v>-43514527655</v>
      </c>
      <c r="U157" s="226">
        <f t="shared" si="20"/>
        <v>54508901892.800003</v>
      </c>
    </row>
    <row r="158" spans="1:21" ht="16">
      <c r="A158" s="234">
        <v>3213</v>
      </c>
      <c r="B158" s="234" t="s">
        <v>516</v>
      </c>
      <c r="C158" s="264">
        <v>0</v>
      </c>
      <c r="D158" s="264"/>
      <c r="E158" s="265"/>
      <c r="F158" s="264">
        <f t="shared" si="18"/>
        <v>0</v>
      </c>
      <c r="G158" s="264"/>
      <c r="H158" s="266">
        <v>0</v>
      </c>
      <c r="I158" s="222">
        <v>0</v>
      </c>
      <c r="K158" s="225">
        <f t="shared" si="21"/>
        <v>0</v>
      </c>
      <c r="L158" s="228">
        <f t="shared" si="16"/>
        <v>0</v>
      </c>
      <c r="N158" s="225">
        <f t="shared" si="23"/>
        <v>0</v>
      </c>
      <c r="P158" s="229">
        <f t="shared" si="19"/>
        <v>0</v>
      </c>
      <c r="Q158" s="230">
        <v>0</v>
      </c>
      <c r="R158" s="231">
        <v>0</v>
      </c>
      <c r="S158" s="229">
        <f t="shared" si="22"/>
        <v>0</v>
      </c>
      <c r="T158" s="220">
        <f>-238190000-563500000</f>
        <v>-801690000</v>
      </c>
      <c r="U158" s="226">
        <f t="shared" si="20"/>
        <v>-801690000</v>
      </c>
    </row>
    <row r="159" spans="1:21" ht="16">
      <c r="A159" s="234">
        <v>3214</v>
      </c>
      <c r="B159" s="234" t="s">
        <v>517</v>
      </c>
      <c r="C159" s="270">
        <v>168542413180</v>
      </c>
      <c r="D159" s="270"/>
      <c r="E159" s="268"/>
      <c r="F159" s="270">
        <f t="shared" si="18"/>
        <v>168542413180</v>
      </c>
      <c r="G159" s="270"/>
      <c r="H159" s="269">
        <v>-841277468</v>
      </c>
      <c r="I159" s="222">
        <v>2019695</v>
      </c>
      <c r="K159" s="225">
        <f t="shared" si="21"/>
        <v>2019695</v>
      </c>
      <c r="L159" s="228">
        <f t="shared" si="16"/>
        <v>168542413180</v>
      </c>
      <c r="N159" s="225">
        <f t="shared" si="23"/>
        <v>168542413180</v>
      </c>
      <c r="P159" s="229">
        <f t="shared" si="19"/>
        <v>167701135712</v>
      </c>
      <c r="Q159" s="230">
        <v>-1547439608</v>
      </c>
      <c r="R159" s="231">
        <v>1203068496</v>
      </c>
      <c r="S159" s="229">
        <f t="shared" si="22"/>
        <v>-344371112</v>
      </c>
      <c r="U159" s="226">
        <f t="shared" si="20"/>
        <v>167358784295</v>
      </c>
    </row>
    <row r="160" spans="1:21" ht="16">
      <c r="A160" s="234">
        <v>3215</v>
      </c>
      <c r="B160" s="234" t="s">
        <v>518</v>
      </c>
      <c r="C160" s="270">
        <v>0</v>
      </c>
      <c r="D160" s="270"/>
      <c r="E160" s="268"/>
      <c r="F160" s="270">
        <f t="shared" si="18"/>
        <v>0</v>
      </c>
      <c r="G160" s="270"/>
      <c r="H160" s="269">
        <v>498872495</v>
      </c>
      <c r="I160" s="222">
        <v>0</v>
      </c>
      <c r="K160" s="225">
        <f t="shared" si="21"/>
        <v>0</v>
      </c>
      <c r="L160" s="228">
        <f t="shared" si="16"/>
        <v>0</v>
      </c>
      <c r="N160" s="225">
        <f t="shared" si="23"/>
        <v>0</v>
      </c>
      <c r="P160" s="229">
        <f t="shared" si="19"/>
        <v>498872495</v>
      </c>
      <c r="Q160" s="230">
        <v>0</v>
      </c>
      <c r="R160" s="231">
        <v>0</v>
      </c>
      <c r="S160" s="229">
        <f t="shared" si="22"/>
        <v>0</v>
      </c>
      <c r="U160" s="226">
        <f t="shared" si="20"/>
        <v>498872495</v>
      </c>
    </row>
    <row r="161" spans="1:21" ht="16">
      <c r="A161" s="234">
        <v>3216</v>
      </c>
      <c r="B161" s="234" t="s">
        <v>519</v>
      </c>
      <c r="C161" s="270">
        <v>0</v>
      </c>
      <c r="D161" s="270"/>
      <c r="E161" s="268"/>
      <c r="F161" s="270">
        <f t="shared" si="18"/>
        <v>0</v>
      </c>
      <c r="G161" s="270"/>
      <c r="H161" s="269">
        <v>0</v>
      </c>
      <c r="I161" s="222">
        <v>0</v>
      </c>
      <c r="K161" s="225">
        <f t="shared" si="21"/>
        <v>0</v>
      </c>
      <c r="L161" s="228">
        <f t="shared" si="16"/>
        <v>0</v>
      </c>
      <c r="N161" s="225">
        <f t="shared" si="23"/>
        <v>0</v>
      </c>
      <c r="P161" s="229">
        <f t="shared" si="19"/>
        <v>0</v>
      </c>
      <c r="Q161" s="230">
        <v>0</v>
      </c>
      <c r="R161" s="231">
        <v>0</v>
      </c>
      <c r="S161" s="229">
        <f t="shared" si="22"/>
        <v>0</v>
      </c>
      <c r="U161" s="226">
        <f t="shared" si="20"/>
        <v>0</v>
      </c>
    </row>
    <row r="162" spans="1:21" ht="16">
      <c r="A162" s="234">
        <v>3217</v>
      </c>
      <c r="B162" s="234" t="s">
        <v>520</v>
      </c>
      <c r="C162" s="270">
        <v>0</v>
      </c>
      <c r="D162" s="270"/>
      <c r="E162" s="268"/>
      <c r="F162" s="270">
        <f t="shared" si="18"/>
        <v>0</v>
      </c>
      <c r="G162" s="270"/>
      <c r="H162" s="269">
        <v>0</v>
      </c>
      <c r="I162" s="222">
        <v>0</v>
      </c>
      <c r="K162" s="225">
        <f t="shared" si="21"/>
        <v>0</v>
      </c>
      <c r="L162" s="228">
        <f t="shared" si="16"/>
        <v>0</v>
      </c>
      <c r="N162" s="225">
        <f t="shared" si="23"/>
        <v>0</v>
      </c>
      <c r="P162" s="229">
        <f t="shared" si="19"/>
        <v>0</v>
      </c>
      <c r="Q162" s="230">
        <v>0</v>
      </c>
      <c r="R162" s="231">
        <v>0</v>
      </c>
      <c r="S162" s="229">
        <f t="shared" si="22"/>
        <v>0</v>
      </c>
      <c r="U162" s="226">
        <f t="shared" si="20"/>
        <v>0</v>
      </c>
    </row>
    <row r="163" spans="1:21" ht="16">
      <c r="A163" s="234">
        <v>3218</v>
      </c>
      <c r="B163" s="234" t="s">
        <v>521</v>
      </c>
      <c r="C163" s="270">
        <v>8389464567</v>
      </c>
      <c r="D163" s="270"/>
      <c r="E163" s="268"/>
      <c r="F163" s="270">
        <f t="shared" si="18"/>
        <v>8389464567</v>
      </c>
      <c r="G163" s="270"/>
      <c r="H163" s="269">
        <v>-1539999677</v>
      </c>
      <c r="I163" s="222">
        <v>5271639127</v>
      </c>
      <c r="K163" s="225">
        <f t="shared" si="21"/>
        <v>5271639127</v>
      </c>
      <c r="L163" s="228">
        <f t="shared" si="16"/>
        <v>8389464567</v>
      </c>
      <c r="N163" s="225">
        <f t="shared" si="23"/>
        <v>8389464567</v>
      </c>
      <c r="O163" s="227">
        <f>+O173</f>
        <v>-22900000000</v>
      </c>
      <c r="P163" s="229">
        <f t="shared" si="19"/>
        <v>-16050535110</v>
      </c>
      <c r="Q163" s="230">
        <v>9680955401</v>
      </c>
      <c r="R163" s="231">
        <v>2915149664</v>
      </c>
      <c r="S163" s="229">
        <f t="shared" si="22"/>
        <v>12596105065</v>
      </c>
      <c r="U163" s="226">
        <f t="shared" si="20"/>
        <v>1817209082</v>
      </c>
    </row>
    <row r="164" spans="1:21" ht="16">
      <c r="A164" s="233">
        <v>322</v>
      </c>
      <c r="B164" s="233" t="s">
        <v>522</v>
      </c>
      <c r="C164" s="270">
        <v>0</v>
      </c>
      <c r="D164" s="270"/>
      <c r="E164" s="268"/>
      <c r="F164" s="270">
        <f t="shared" si="18"/>
        <v>0</v>
      </c>
      <c r="G164" s="270"/>
      <c r="H164" s="269">
        <v>0</v>
      </c>
      <c r="I164" s="222">
        <v>0</v>
      </c>
      <c r="K164" s="225">
        <f t="shared" si="21"/>
        <v>0</v>
      </c>
      <c r="L164" s="228">
        <f t="shared" si="16"/>
        <v>0</v>
      </c>
      <c r="N164" s="225">
        <f t="shared" si="23"/>
        <v>0</v>
      </c>
      <c r="P164" s="229">
        <f t="shared" si="19"/>
        <v>0</v>
      </c>
      <c r="Q164" s="230">
        <v>0</v>
      </c>
      <c r="R164" s="231">
        <v>0</v>
      </c>
      <c r="S164" s="229">
        <f t="shared" si="22"/>
        <v>0</v>
      </c>
      <c r="U164" s="226">
        <f t="shared" si="20"/>
        <v>0</v>
      </c>
    </row>
    <row r="165" spans="1:21" ht="16">
      <c r="A165" s="234">
        <v>3221</v>
      </c>
      <c r="B165" s="234" t="s">
        <v>523</v>
      </c>
      <c r="C165" s="270"/>
      <c r="D165" s="270"/>
      <c r="E165" s="268"/>
      <c r="F165" s="270">
        <f t="shared" si="18"/>
        <v>0</v>
      </c>
      <c r="G165" s="270"/>
      <c r="H165" s="269">
        <v>0</v>
      </c>
      <c r="I165" s="222">
        <v>0</v>
      </c>
      <c r="K165" s="225">
        <f t="shared" si="21"/>
        <v>0</v>
      </c>
      <c r="L165" s="228">
        <f t="shared" si="16"/>
        <v>0</v>
      </c>
      <c r="N165" s="225">
        <f t="shared" si="23"/>
        <v>0</v>
      </c>
      <c r="P165" s="229">
        <f t="shared" si="19"/>
        <v>0</v>
      </c>
      <c r="Q165" s="230">
        <v>0</v>
      </c>
      <c r="R165" s="231">
        <v>0</v>
      </c>
      <c r="S165" s="229">
        <f t="shared" si="22"/>
        <v>0</v>
      </c>
      <c r="U165" s="226">
        <f t="shared" si="20"/>
        <v>0</v>
      </c>
    </row>
    <row r="166" spans="1:21" ht="16">
      <c r="A166" s="234">
        <v>3222</v>
      </c>
      <c r="B166" s="234" t="s">
        <v>524</v>
      </c>
      <c r="C166" s="264">
        <v>0</v>
      </c>
      <c r="D166" s="264"/>
      <c r="E166" s="265"/>
      <c r="F166" s="264">
        <f t="shared" si="18"/>
        <v>0</v>
      </c>
      <c r="G166" s="264"/>
      <c r="H166" s="266">
        <v>0</v>
      </c>
      <c r="I166" s="222">
        <v>0</v>
      </c>
      <c r="K166" s="225">
        <f t="shared" si="21"/>
        <v>0</v>
      </c>
      <c r="L166" s="228">
        <f t="shared" si="16"/>
        <v>0</v>
      </c>
      <c r="N166" s="225">
        <f t="shared" si="23"/>
        <v>0</v>
      </c>
      <c r="P166" s="229">
        <f t="shared" si="19"/>
        <v>0</v>
      </c>
      <c r="Q166" s="230">
        <v>0</v>
      </c>
      <c r="R166" s="231">
        <v>0</v>
      </c>
      <c r="S166" s="229">
        <f t="shared" si="22"/>
        <v>0</v>
      </c>
      <c r="U166" s="226">
        <f t="shared" si="20"/>
        <v>0</v>
      </c>
    </row>
    <row r="167" spans="1:21" ht="16">
      <c r="A167" s="234">
        <v>3223</v>
      </c>
      <c r="B167" s="234" t="s">
        <v>525</v>
      </c>
      <c r="C167" s="271">
        <v>0</v>
      </c>
      <c r="D167" s="271"/>
      <c r="E167" s="272"/>
      <c r="F167" s="271">
        <f t="shared" si="18"/>
        <v>0</v>
      </c>
      <c r="G167" s="271"/>
      <c r="H167" s="273">
        <v>0</v>
      </c>
      <c r="I167" s="222">
        <v>0</v>
      </c>
      <c r="K167" s="225">
        <f t="shared" si="21"/>
        <v>0</v>
      </c>
      <c r="L167" s="228">
        <f t="shared" si="16"/>
        <v>0</v>
      </c>
      <c r="N167" s="225">
        <f t="shared" si="23"/>
        <v>0</v>
      </c>
      <c r="P167" s="229">
        <f t="shared" si="19"/>
        <v>0</v>
      </c>
      <c r="Q167" s="230">
        <v>0</v>
      </c>
      <c r="R167" s="231">
        <v>0</v>
      </c>
      <c r="S167" s="229">
        <f t="shared" si="22"/>
        <v>0</v>
      </c>
      <c r="U167" s="226">
        <f t="shared" si="20"/>
        <v>0</v>
      </c>
    </row>
    <row r="168" spans="1:21" ht="16">
      <c r="A168" s="234">
        <v>3224</v>
      </c>
      <c r="B168" s="234" t="s">
        <v>526</v>
      </c>
      <c r="C168" s="270">
        <v>0</v>
      </c>
      <c r="D168" s="270"/>
      <c r="E168" s="268"/>
      <c r="F168" s="270">
        <f t="shared" si="18"/>
        <v>0</v>
      </c>
      <c r="G168" s="270"/>
      <c r="H168" s="269">
        <v>0</v>
      </c>
      <c r="I168" s="222">
        <v>0</v>
      </c>
      <c r="K168" s="225">
        <f t="shared" si="21"/>
        <v>0</v>
      </c>
      <c r="L168" s="228">
        <f t="shared" si="16"/>
        <v>0</v>
      </c>
      <c r="N168" s="225">
        <f t="shared" si="23"/>
        <v>0</v>
      </c>
      <c r="P168" s="229">
        <f t="shared" si="19"/>
        <v>0</v>
      </c>
      <c r="Q168" s="230">
        <v>0</v>
      </c>
      <c r="R168" s="231">
        <v>0</v>
      </c>
      <c r="S168" s="229">
        <f t="shared" si="22"/>
        <v>0</v>
      </c>
      <c r="U168" s="226">
        <f t="shared" si="20"/>
        <v>0</v>
      </c>
    </row>
    <row r="169" spans="1:21" ht="16">
      <c r="A169" s="234">
        <v>3225</v>
      </c>
      <c r="B169" s="234" t="s">
        <v>527</v>
      </c>
      <c r="C169" s="270">
        <v>0</v>
      </c>
      <c r="D169" s="270"/>
      <c r="E169" s="268"/>
      <c r="F169" s="270">
        <f t="shared" si="18"/>
        <v>0</v>
      </c>
      <c r="G169" s="270"/>
      <c r="H169" s="269">
        <v>0</v>
      </c>
      <c r="I169" s="222">
        <v>0</v>
      </c>
      <c r="K169" s="225">
        <f t="shared" si="21"/>
        <v>0</v>
      </c>
      <c r="L169" s="228">
        <f t="shared" si="16"/>
        <v>0</v>
      </c>
      <c r="N169" s="225">
        <f t="shared" si="23"/>
        <v>0</v>
      </c>
      <c r="P169" s="229">
        <f t="shared" si="19"/>
        <v>0</v>
      </c>
      <c r="Q169" s="230">
        <v>0</v>
      </c>
      <c r="R169" s="231">
        <v>0</v>
      </c>
      <c r="S169" s="229">
        <f t="shared" si="22"/>
        <v>0</v>
      </c>
      <c r="U169" s="226">
        <f t="shared" si="20"/>
        <v>0</v>
      </c>
    </row>
    <row r="170" spans="1:21" ht="16">
      <c r="A170" s="234">
        <v>3226</v>
      </c>
      <c r="B170" s="234" t="s">
        <v>528</v>
      </c>
      <c r="C170" s="274">
        <v>0</v>
      </c>
      <c r="D170" s="274"/>
      <c r="E170" s="275"/>
      <c r="F170" s="274">
        <f t="shared" si="18"/>
        <v>0</v>
      </c>
      <c r="G170" s="274"/>
      <c r="H170" s="276">
        <v>0</v>
      </c>
      <c r="I170" s="222">
        <v>0</v>
      </c>
      <c r="K170" s="225">
        <f t="shared" si="21"/>
        <v>0</v>
      </c>
      <c r="L170" s="228">
        <f t="shared" si="16"/>
        <v>0</v>
      </c>
      <c r="N170" s="225">
        <f t="shared" si="23"/>
        <v>0</v>
      </c>
      <c r="P170" s="229">
        <f t="shared" si="19"/>
        <v>0</v>
      </c>
      <c r="Q170" s="230">
        <v>0</v>
      </c>
      <c r="R170" s="231">
        <v>0</v>
      </c>
      <c r="S170" s="229">
        <f t="shared" si="22"/>
        <v>0</v>
      </c>
      <c r="U170" s="226">
        <f t="shared" si="20"/>
        <v>0</v>
      </c>
    </row>
    <row r="171" spans="1:21" ht="16">
      <c r="A171" s="234">
        <v>3227</v>
      </c>
      <c r="B171" s="234" t="s">
        <v>529</v>
      </c>
      <c r="C171" s="274">
        <v>0</v>
      </c>
      <c r="D171" s="274"/>
      <c r="E171" s="275"/>
      <c r="F171" s="274">
        <f t="shared" si="18"/>
        <v>0</v>
      </c>
      <c r="G171" s="274"/>
      <c r="H171" s="276">
        <v>0</v>
      </c>
      <c r="I171" s="222">
        <v>0</v>
      </c>
      <c r="K171" s="225">
        <f t="shared" si="21"/>
        <v>0</v>
      </c>
      <c r="L171" s="228">
        <f t="shared" si="16"/>
        <v>0</v>
      </c>
      <c r="N171" s="225">
        <f t="shared" si="23"/>
        <v>0</v>
      </c>
      <c r="P171" s="229">
        <f t="shared" si="19"/>
        <v>0</v>
      </c>
      <c r="Q171" s="230">
        <v>0</v>
      </c>
      <c r="R171" s="231">
        <v>0</v>
      </c>
      <c r="S171" s="229">
        <f t="shared" si="22"/>
        <v>0</v>
      </c>
      <c r="U171" s="226">
        <f t="shared" si="20"/>
        <v>0</v>
      </c>
    </row>
    <row r="172" spans="1:21" ht="16">
      <c r="A172" s="234">
        <v>3228</v>
      </c>
      <c r="B172" s="234" t="s">
        <v>530</v>
      </c>
      <c r="C172" s="274">
        <v>0</v>
      </c>
      <c r="D172" s="274"/>
      <c r="E172" s="275"/>
      <c r="F172" s="274">
        <f t="shared" si="18"/>
        <v>0</v>
      </c>
      <c r="G172" s="274"/>
      <c r="H172" s="276">
        <v>0</v>
      </c>
      <c r="I172" s="222">
        <v>0</v>
      </c>
      <c r="K172" s="225">
        <f t="shared" si="21"/>
        <v>0</v>
      </c>
      <c r="L172" s="228">
        <f t="shared" si="16"/>
        <v>0</v>
      </c>
      <c r="N172" s="225">
        <f t="shared" si="23"/>
        <v>0</v>
      </c>
      <c r="P172" s="229">
        <f t="shared" si="19"/>
        <v>0</v>
      </c>
      <c r="Q172" s="230">
        <v>0</v>
      </c>
      <c r="R172" s="231">
        <v>0</v>
      </c>
      <c r="S172" s="229">
        <f t="shared" si="22"/>
        <v>0</v>
      </c>
      <c r="U172" s="226">
        <f t="shared" si="20"/>
        <v>0</v>
      </c>
    </row>
    <row r="173" spans="1:21" ht="16">
      <c r="A173" s="232">
        <v>33</v>
      </c>
      <c r="B173" s="232" t="s">
        <v>531</v>
      </c>
      <c r="C173" s="274">
        <v>816298397222.63538</v>
      </c>
      <c r="D173" s="274"/>
      <c r="E173" s="275"/>
      <c r="F173" s="274">
        <f t="shared" si="18"/>
        <v>816298397222.63538</v>
      </c>
      <c r="G173" s="274"/>
      <c r="H173" s="276">
        <v>80387918474</v>
      </c>
      <c r="I173" s="222">
        <v>1345352617</v>
      </c>
      <c r="K173" s="225">
        <f t="shared" si="21"/>
        <v>1345352617</v>
      </c>
      <c r="L173" s="228">
        <f t="shared" si="16"/>
        <v>816298397222.63538</v>
      </c>
      <c r="N173" s="225">
        <f t="shared" si="23"/>
        <v>816298397222.63538</v>
      </c>
      <c r="O173" s="227">
        <f>+O186</f>
        <v>-22900000000</v>
      </c>
      <c r="P173" s="229">
        <f t="shared" si="19"/>
        <v>873786315696.63538</v>
      </c>
      <c r="Q173" s="230">
        <f t="shared" ref="Q173:R173" si="24">+Q187+Q195</f>
        <v>7095784603</v>
      </c>
      <c r="R173" s="231">
        <f t="shared" si="24"/>
        <v>1075253427</v>
      </c>
      <c r="S173" s="229">
        <f>+S187+S195</f>
        <v>8171038030</v>
      </c>
      <c r="T173" s="220">
        <f>+T187</f>
        <v>-44316217655</v>
      </c>
      <c r="U173" s="226">
        <f t="shared" si="20"/>
        <v>838986488688.63538</v>
      </c>
    </row>
    <row r="174" spans="1:21" ht="16">
      <c r="A174" s="234">
        <v>3301</v>
      </c>
      <c r="B174" s="234" t="s">
        <v>532</v>
      </c>
      <c r="C174" s="274"/>
      <c r="D174" s="274"/>
      <c r="E174" s="275"/>
      <c r="F174" s="274">
        <f t="shared" si="18"/>
        <v>0</v>
      </c>
      <c r="G174" s="274"/>
      <c r="H174" s="276">
        <v>0</v>
      </c>
      <c r="I174" s="222">
        <v>0</v>
      </c>
      <c r="K174" s="225">
        <f t="shared" si="21"/>
        <v>0</v>
      </c>
      <c r="L174" s="228">
        <f t="shared" si="16"/>
        <v>0</v>
      </c>
      <c r="N174" s="225">
        <f t="shared" si="23"/>
        <v>0</v>
      </c>
      <c r="P174" s="229">
        <f t="shared" si="19"/>
        <v>0</v>
      </c>
      <c r="Q174" s="230">
        <v>0</v>
      </c>
      <c r="R174" s="231">
        <v>0</v>
      </c>
      <c r="S174" s="229">
        <f t="shared" si="22"/>
        <v>0</v>
      </c>
      <c r="U174" s="226">
        <f t="shared" si="20"/>
        <v>0</v>
      </c>
    </row>
    <row r="175" spans="1:21" ht="16">
      <c r="A175" s="234">
        <v>3302</v>
      </c>
      <c r="B175" s="234" t="s">
        <v>533</v>
      </c>
      <c r="C175" s="274"/>
      <c r="D175" s="274"/>
      <c r="E175" s="275"/>
      <c r="F175" s="274">
        <f t="shared" si="18"/>
        <v>0</v>
      </c>
      <c r="G175" s="274"/>
      <c r="H175" s="276">
        <v>0</v>
      </c>
      <c r="I175" s="222">
        <v>0</v>
      </c>
      <c r="K175" s="225">
        <f t="shared" si="21"/>
        <v>0</v>
      </c>
      <c r="L175" s="228">
        <f t="shared" ref="L175:L203" si="25">+F175</f>
        <v>0</v>
      </c>
      <c r="N175" s="225">
        <f t="shared" si="23"/>
        <v>0</v>
      </c>
      <c r="P175" s="229">
        <f t="shared" si="19"/>
        <v>0</v>
      </c>
      <c r="Q175" s="230">
        <v>0</v>
      </c>
      <c r="R175" s="231">
        <v>0</v>
      </c>
      <c r="S175" s="229">
        <f t="shared" si="22"/>
        <v>0</v>
      </c>
      <c r="U175" s="226">
        <f t="shared" si="20"/>
        <v>0</v>
      </c>
    </row>
    <row r="176" spans="1:21" ht="16">
      <c r="A176" s="234">
        <v>3303</v>
      </c>
      <c r="B176" s="234" t="s">
        <v>534</v>
      </c>
      <c r="C176" s="270">
        <f>+C189+C198</f>
        <v>78064540092</v>
      </c>
      <c r="D176" s="270"/>
      <c r="E176" s="268"/>
      <c r="F176" s="270">
        <f t="shared" si="18"/>
        <v>78064540092</v>
      </c>
      <c r="G176" s="270"/>
      <c r="H176" s="269">
        <v>0</v>
      </c>
      <c r="I176" s="222">
        <v>0</v>
      </c>
      <c r="K176" s="225">
        <f t="shared" si="21"/>
        <v>0</v>
      </c>
      <c r="L176" s="228">
        <f t="shared" si="25"/>
        <v>78064540092</v>
      </c>
      <c r="N176" s="225">
        <f t="shared" si="23"/>
        <v>78064540092</v>
      </c>
      <c r="P176" s="229">
        <f t="shared" si="19"/>
        <v>78064540092</v>
      </c>
      <c r="Q176" s="230">
        <v>19000000000</v>
      </c>
      <c r="R176" s="231">
        <v>0</v>
      </c>
      <c r="S176" s="229">
        <f t="shared" si="22"/>
        <v>19000000000</v>
      </c>
      <c r="U176" s="226">
        <f t="shared" si="20"/>
        <v>97064540092</v>
      </c>
    </row>
    <row r="177" spans="1:21" ht="16">
      <c r="A177" s="234">
        <v>3304</v>
      </c>
      <c r="B177" s="234" t="s">
        <v>535</v>
      </c>
      <c r="C177" s="277">
        <f>+C190+C199</f>
        <v>697858980388.63538</v>
      </c>
      <c r="D177" s="277"/>
      <c r="E177" s="275"/>
      <c r="F177" s="277">
        <f t="shared" si="18"/>
        <v>697858980388.63538</v>
      </c>
      <c r="G177" s="277"/>
      <c r="H177" s="276">
        <v>-13666324800</v>
      </c>
      <c r="I177" s="222">
        <v>0</v>
      </c>
      <c r="K177" s="225">
        <f t="shared" si="21"/>
        <v>0</v>
      </c>
      <c r="L177" s="228">
        <f t="shared" si="25"/>
        <v>697858980388.63538</v>
      </c>
      <c r="N177" s="225">
        <f t="shared" si="23"/>
        <v>697858980388.63538</v>
      </c>
      <c r="P177" s="229">
        <f t="shared" si="19"/>
        <v>684192655588.63538</v>
      </c>
      <c r="Q177" s="230">
        <v>0</v>
      </c>
      <c r="R177" s="231">
        <v>0</v>
      </c>
      <c r="S177" s="229">
        <f t="shared" si="22"/>
        <v>0</v>
      </c>
      <c r="U177" s="226">
        <f t="shared" si="20"/>
        <v>684192655588.63538</v>
      </c>
    </row>
    <row r="178" spans="1:21" ht="16">
      <c r="A178" s="234">
        <v>3305</v>
      </c>
      <c r="B178" s="234" t="s">
        <v>536</v>
      </c>
      <c r="C178" s="274"/>
      <c r="D178" s="274"/>
      <c r="E178" s="275"/>
      <c r="F178" s="274">
        <f t="shared" si="18"/>
        <v>0</v>
      </c>
      <c r="G178" s="274"/>
      <c r="H178" s="276">
        <v>0</v>
      </c>
      <c r="I178" s="222">
        <v>0</v>
      </c>
      <c r="K178" s="225">
        <f t="shared" si="21"/>
        <v>0</v>
      </c>
      <c r="L178" s="228">
        <f t="shared" si="25"/>
        <v>0</v>
      </c>
      <c r="N178" s="225">
        <f t="shared" si="23"/>
        <v>0</v>
      </c>
      <c r="P178" s="229">
        <f t="shared" si="19"/>
        <v>0</v>
      </c>
      <c r="Q178" s="230">
        <v>0</v>
      </c>
      <c r="R178" s="231">
        <v>0</v>
      </c>
      <c r="S178" s="229">
        <f t="shared" si="22"/>
        <v>0</v>
      </c>
      <c r="U178" s="226">
        <f t="shared" si="20"/>
        <v>0</v>
      </c>
    </row>
    <row r="179" spans="1:21" ht="16">
      <c r="A179" s="234">
        <v>3306</v>
      </c>
      <c r="B179" s="234" t="s">
        <v>537</v>
      </c>
      <c r="C179" s="274"/>
      <c r="D179" s="274"/>
      <c r="E179" s="275"/>
      <c r="F179" s="274">
        <f t="shared" si="18"/>
        <v>0</v>
      </c>
      <c r="G179" s="274"/>
      <c r="H179" s="276">
        <v>0</v>
      </c>
      <c r="I179" s="222">
        <v>0</v>
      </c>
      <c r="K179" s="225">
        <f t="shared" si="21"/>
        <v>0</v>
      </c>
      <c r="L179" s="228">
        <f t="shared" si="25"/>
        <v>0</v>
      </c>
      <c r="N179" s="225">
        <f t="shared" si="23"/>
        <v>0</v>
      </c>
      <c r="P179" s="229">
        <f t="shared" si="19"/>
        <v>0</v>
      </c>
      <c r="Q179" s="230">
        <v>0</v>
      </c>
      <c r="R179" s="231">
        <v>0</v>
      </c>
      <c r="S179" s="229">
        <f t="shared" si="22"/>
        <v>0</v>
      </c>
      <c r="U179" s="226">
        <f t="shared" si="20"/>
        <v>0</v>
      </c>
    </row>
    <row r="180" spans="1:21" ht="16">
      <c r="A180" s="234">
        <v>33061</v>
      </c>
      <c r="B180" s="234" t="s">
        <v>538</v>
      </c>
      <c r="C180" s="274"/>
      <c r="D180" s="274"/>
      <c r="E180" s="275"/>
      <c r="F180" s="274">
        <f t="shared" si="18"/>
        <v>0</v>
      </c>
      <c r="G180" s="274"/>
      <c r="H180" s="276">
        <v>0</v>
      </c>
      <c r="I180" s="222">
        <v>0</v>
      </c>
      <c r="K180" s="225">
        <f t="shared" si="21"/>
        <v>0</v>
      </c>
      <c r="L180" s="228">
        <f t="shared" si="25"/>
        <v>0</v>
      </c>
      <c r="N180" s="225">
        <f t="shared" si="23"/>
        <v>0</v>
      </c>
      <c r="P180" s="229">
        <f t="shared" si="19"/>
        <v>0</v>
      </c>
      <c r="Q180" s="230">
        <v>0</v>
      </c>
      <c r="R180" s="231">
        <v>0</v>
      </c>
      <c r="S180" s="229">
        <f t="shared" si="22"/>
        <v>0</v>
      </c>
      <c r="U180" s="226">
        <f t="shared" si="20"/>
        <v>0</v>
      </c>
    </row>
    <row r="181" spans="1:21" ht="16">
      <c r="A181" s="234">
        <v>33062</v>
      </c>
      <c r="B181" s="234" t="s">
        <v>539</v>
      </c>
      <c r="C181" s="270"/>
      <c r="D181" s="270"/>
      <c r="E181" s="268"/>
      <c r="F181" s="270">
        <f t="shared" si="18"/>
        <v>0</v>
      </c>
      <c r="G181" s="270"/>
      <c r="H181" s="269">
        <v>0</v>
      </c>
      <c r="I181" s="222">
        <v>0</v>
      </c>
      <c r="K181" s="225">
        <f t="shared" si="21"/>
        <v>0</v>
      </c>
      <c r="L181" s="228">
        <f t="shared" si="25"/>
        <v>0</v>
      </c>
      <c r="N181" s="225">
        <f t="shared" si="23"/>
        <v>0</v>
      </c>
      <c r="P181" s="229">
        <f t="shared" si="19"/>
        <v>0</v>
      </c>
      <c r="Q181" s="230">
        <v>0</v>
      </c>
      <c r="R181" s="231">
        <v>0</v>
      </c>
      <c r="S181" s="229">
        <f t="shared" si="22"/>
        <v>0</v>
      </c>
      <c r="U181" s="226">
        <f t="shared" si="20"/>
        <v>0</v>
      </c>
    </row>
    <row r="182" spans="1:21" ht="16">
      <c r="A182" s="234">
        <v>33063</v>
      </c>
      <c r="B182" s="234" t="s">
        <v>540</v>
      </c>
      <c r="C182" s="270"/>
      <c r="D182" s="270"/>
      <c r="E182" s="268"/>
      <c r="F182" s="270">
        <f t="shared" si="18"/>
        <v>0</v>
      </c>
      <c r="G182" s="270"/>
      <c r="H182" s="269">
        <v>0</v>
      </c>
      <c r="I182" s="222">
        <v>0</v>
      </c>
      <c r="K182" s="225">
        <f t="shared" si="21"/>
        <v>0</v>
      </c>
      <c r="L182" s="228">
        <f t="shared" si="25"/>
        <v>0</v>
      </c>
      <c r="N182" s="225">
        <f t="shared" si="23"/>
        <v>0</v>
      </c>
      <c r="P182" s="229">
        <f t="shared" si="19"/>
        <v>0</v>
      </c>
      <c r="Q182" s="230">
        <v>0</v>
      </c>
      <c r="R182" s="231">
        <v>0</v>
      </c>
      <c r="S182" s="229">
        <f t="shared" si="22"/>
        <v>0</v>
      </c>
      <c r="U182" s="226">
        <f t="shared" si="20"/>
        <v>0</v>
      </c>
    </row>
    <row r="183" spans="1:21" ht="16">
      <c r="A183" s="234">
        <v>33064</v>
      </c>
      <c r="B183" s="234" t="s">
        <v>541</v>
      </c>
      <c r="C183" s="270"/>
      <c r="D183" s="270"/>
      <c r="E183" s="268"/>
      <c r="F183" s="270">
        <f t="shared" si="18"/>
        <v>0</v>
      </c>
      <c r="G183" s="270"/>
      <c r="H183" s="269">
        <v>0</v>
      </c>
      <c r="I183" s="222">
        <v>0</v>
      </c>
      <c r="K183" s="225">
        <f t="shared" si="21"/>
        <v>0</v>
      </c>
      <c r="L183" s="228">
        <f t="shared" si="25"/>
        <v>0</v>
      </c>
      <c r="N183" s="225">
        <f t="shared" si="23"/>
        <v>0</v>
      </c>
      <c r="P183" s="229">
        <f t="shared" si="19"/>
        <v>0</v>
      </c>
      <c r="Q183" s="230">
        <v>0</v>
      </c>
      <c r="R183" s="231">
        <v>0</v>
      </c>
      <c r="S183" s="229">
        <f t="shared" si="22"/>
        <v>0</v>
      </c>
      <c r="U183" s="226">
        <f t="shared" si="20"/>
        <v>0</v>
      </c>
    </row>
    <row r="184" spans="1:21" ht="16">
      <c r="A184" s="234">
        <v>33065</v>
      </c>
      <c r="B184" s="234" t="s">
        <v>542</v>
      </c>
      <c r="C184" s="270"/>
      <c r="D184" s="270"/>
      <c r="E184" s="268"/>
      <c r="F184" s="270">
        <f t="shared" si="18"/>
        <v>0</v>
      </c>
      <c r="G184" s="270"/>
      <c r="H184" s="269">
        <v>0</v>
      </c>
      <c r="I184" s="222">
        <v>0</v>
      </c>
      <c r="K184" s="225">
        <f t="shared" si="21"/>
        <v>0</v>
      </c>
      <c r="L184" s="228">
        <f t="shared" si="25"/>
        <v>0</v>
      </c>
      <c r="N184" s="225">
        <f t="shared" si="23"/>
        <v>0</v>
      </c>
      <c r="P184" s="229">
        <f t="shared" si="19"/>
        <v>0</v>
      </c>
      <c r="Q184" s="230">
        <v>0</v>
      </c>
      <c r="R184" s="231">
        <v>0</v>
      </c>
      <c r="S184" s="229">
        <f t="shared" si="22"/>
        <v>0</v>
      </c>
      <c r="U184" s="226">
        <f t="shared" si="20"/>
        <v>0</v>
      </c>
    </row>
    <row r="185" spans="1:21" ht="16">
      <c r="A185" s="234">
        <v>3307</v>
      </c>
      <c r="B185" s="234" t="s">
        <v>543</v>
      </c>
      <c r="C185" s="278"/>
      <c r="D185" s="278"/>
      <c r="E185" s="279"/>
      <c r="F185" s="278">
        <f t="shared" si="18"/>
        <v>0</v>
      </c>
      <c r="G185" s="278"/>
      <c r="H185" s="280">
        <v>0</v>
      </c>
      <c r="I185" s="222">
        <v>0</v>
      </c>
      <c r="K185" s="225">
        <f t="shared" si="21"/>
        <v>0</v>
      </c>
      <c r="L185" s="228">
        <f t="shared" si="25"/>
        <v>0</v>
      </c>
      <c r="N185" s="225">
        <f t="shared" si="23"/>
        <v>0</v>
      </c>
      <c r="P185" s="229">
        <f t="shared" si="19"/>
        <v>0</v>
      </c>
      <c r="Q185" s="230">
        <v>0</v>
      </c>
      <c r="R185" s="231">
        <v>0</v>
      </c>
      <c r="S185" s="229">
        <f t="shared" si="22"/>
        <v>0</v>
      </c>
      <c r="U185" s="226">
        <f t="shared" si="20"/>
        <v>0</v>
      </c>
    </row>
    <row r="186" spans="1:21" ht="16">
      <c r="A186" s="234">
        <v>3308</v>
      </c>
      <c r="B186" s="234" t="s">
        <v>544</v>
      </c>
      <c r="C186" s="281"/>
      <c r="D186" s="281"/>
      <c r="E186" s="282"/>
      <c r="F186" s="281">
        <f t="shared" si="18"/>
        <v>0</v>
      </c>
      <c r="G186" s="281"/>
      <c r="H186" s="283">
        <v>94054243274</v>
      </c>
      <c r="I186" s="222">
        <v>0</v>
      </c>
      <c r="K186" s="225">
        <f t="shared" si="21"/>
        <v>0</v>
      </c>
      <c r="L186" s="228">
        <f t="shared" si="25"/>
        <v>0</v>
      </c>
      <c r="N186" s="225">
        <f t="shared" si="23"/>
        <v>0</v>
      </c>
      <c r="O186" s="227">
        <f>+O194</f>
        <v>-22900000000</v>
      </c>
      <c r="P186" s="229">
        <f t="shared" si="19"/>
        <v>71154243274</v>
      </c>
      <c r="Q186" s="230">
        <v>-11904215397</v>
      </c>
      <c r="R186" s="231">
        <v>1075253427</v>
      </c>
      <c r="S186" s="229">
        <f t="shared" si="22"/>
        <v>-10828961970</v>
      </c>
      <c r="U186" s="226">
        <f t="shared" si="20"/>
        <v>60325281304</v>
      </c>
    </row>
    <row r="187" spans="1:21" ht="16">
      <c r="A187" s="233">
        <v>331</v>
      </c>
      <c r="B187" s="233" t="s">
        <v>545</v>
      </c>
      <c r="C187" s="281">
        <v>-8000849859.1056976</v>
      </c>
      <c r="D187" s="281"/>
      <c r="E187" s="282"/>
      <c r="F187" s="281">
        <f t="shared" si="18"/>
        <v>-8000849859.1056976</v>
      </c>
      <c r="G187" s="281"/>
      <c r="H187" s="283">
        <v>80387918474</v>
      </c>
      <c r="I187" s="222">
        <v>2819934925</v>
      </c>
      <c r="K187" s="225">
        <f t="shared" si="21"/>
        <v>2819934925</v>
      </c>
      <c r="L187" s="228">
        <f t="shared" si="25"/>
        <v>-8000849859.1056976</v>
      </c>
      <c r="N187" s="225">
        <f t="shared" si="23"/>
        <v>-8000849859.1056976</v>
      </c>
      <c r="O187" s="227">
        <f>+O194</f>
        <v>-22900000000</v>
      </c>
      <c r="P187" s="229">
        <f t="shared" si="19"/>
        <v>49487068614.894302</v>
      </c>
      <c r="Q187" s="230">
        <v>7095784603</v>
      </c>
      <c r="R187" s="231">
        <v>1075253427</v>
      </c>
      <c r="S187" s="229">
        <f t="shared" si="22"/>
        <v>8171038030</v>
      </c>
      <c r="T187" s="220">
        <f>+T189+T194</f>
        <v>-44316217655</v>
      </c>
      <c r="U187" s="226">
        <f t="shared" si="20"/>
        <v>16161823914.894302</v>
      </c>
    </row>
    <row r="188" spans="1:21" ht="16">
      <c r="A188" s="234">
        <v>3312</v>
      </c>
      <c r="B188" s="234" t="s">
        <v>546</v>
      </c>
      <c r="C188" s="281">
        <v>0</v>
      </c>
      <c r="D188" s="281"/>
      <c r="E188" s="282"/>
      <c r="F188" s="281">
        <f t="shared" si="18"/>
        <v>0</v>
      </c>
      <c r="G188" s="281"/>
      <c r="H188" s="283">
        <v>0</v>
      </c>
      <c r="I188" s="222">
        <v>0</v>
      </c>
      <c r="K188" s="225">
        <f t="shared" si="21"/>
        <v>0</v>
      </c>
      <c r="L188" s="228">
        <f t="shared" si="25"/>
        <v>0</v>
      </c>
      <c r="N188" s="225">
        <f t="shared" si="23"/>
        <v>0</v>
      </c>
      <c r="P188" s="229">
        <f t="shared" si="19"/>
        <v>0</v>
      </c>
      <c r="Q188" s="230">
        <v>0</v>
      </c>
      <c r="R188" s="231">
        <v>0</v>
      </c>
      <c r="S188" s="229">
        <f t="shared" si="22"/>
        <v>0</v>
      </c>
      <c r="U188" s="226">
        <f t="shared" si="20"/>
        <v>0</v>
      </c>
    </row>
    <row r="189" spans="1:21" ht="16">
      <c r="A189" s="234">
        <v>3313</v>
      </c>
      <c r="B189" s="234" t="s">
        <v>547</v>
      </c>
      <c r="C189" s="284">
        <v>12904409905.894302</v>
      </c>
      <c r="D189" s="284"/>
      <c r="E189" s="285"/>
      <c r="F189" s="284">
        <f t="shared" si="18"/>
        <v>12904409905.894302</v>
      </c>
      <c r="G189" s="284"/>
      <c r="H189" s="286">
        <v>0</v>
      </c>
      <c r="I189" s="222">
        <v>0</v>
      </c>
      <c r="K189" s="225">
        <f t="shared" si="21"/>
        <v>0</v>
      </c>
      <c r="L189" s="228">
        <f t="shared" si="25"/>
        <v>12904409905.894302</v>
      </c>
      <c r="N189" s="225">
        <f t="shared" si="23"/>
        <v>12904409905.894302</v>
      </c>
      <c r="P189" s="229">
        <f t="shared" si="19"/>
        <v>12904409905.894302</v>
      </c>
      <c r="Q189" s="230">
        <v>19000000000</v>
      </c>
      <c r="R189" s="231">
        <v>0</v>
      </c>
      <c r="S189" s="229"/>
      <c r="T189" s="220">
        <f>-238190000-563500000</f>
        <v>-801690000</v>
      </c>
      <c r="U189" s="226">
        <f t="shared" si="20"/>
        <v>12102719905.894302</v>
      </c>
    </row>
    <row r="190" spans="1:21" ht="16">
      <c r="A190" s="234">
        <v>3314</v>
      </c>
      <c r="B190" s="234" t="s">
        <v>548</v>
      </c>
      <c r="C190" s="284">
        <v>-61280136507</v>
      </c>
      <c r="D190" s="284"/>
      <c r="E190" s="285"/>
      <c r="F190" s="284">
        <f t="shared" si="18"/>
        <v>-61280136507</v>
      </c>
      <c r="G190" s="284"/>
      <c r="H190" s="286">
        <v>-13666324800</v>
      </c>
      <c r="I190" s="222">
        <v>-750079248</v>
      </c>
      <c r="K190" s="225">
        <f t="shared" si="21"/>
        <v>-750079248</v>
      </c>
      <c r="L190" s="228">
        <f t="shared" si="25"/>
        <v>-61280136507</v>
      </c>
      <c r="N190" s="225">
        <f t="shared" si="23"/>
        <v>-61280136507</v>
      </c>
      <c r="P190" s="229">
        <f t="shared" si="19"/>
        <v>-74946461307</v>
      </c>
      <c r="Q190" s="230">
        <v>0</v>
      </c>
      <c r="R190" s="231">
        <v>0</v>
      </c>
      <c r="S190" s="229">
        <v>19000000000</v>
      </c>
      <c r="U190" s="226">
        <f t="shared" si="20"/>
        <v>-56696540555</v>
      </c>
    </row>
    <row r="191" spans="1:21" ht="16">
      <c r="A191" s="234">
        <v>3315</v>
      </c>
      <c r="B191" s="234" t="s">
        <v>549</v>
      </c>
      <c r="C191" s="284">
        <v>0</v>
      </c>
      <c r="D191" s="284"/>
      <c r="E191" s="285"/>
      <c r="F191" s="284">
        <f t="shared" si="18"/>
        <v>0</v>
      </c>
      <c r="G191" s="284"/>
      <c r="H191" s="286">
        <v>0</v>
      </c>
      <c r="I191" s="222">
        <v>0</v>
      </c>
      <c r="K191" s="225">
        <f t="shared" si="21"/>
        <v>0</v>
      </c>
      <c r="L191" s="228">
        <f t="shared" si="25"/>
        <v>0</v>
      </c>
      <c r="N191" s="225">
        <f t="shared" si="23"/>
        <v>0</v>
      </c>
      <c r="P191" s="229">
        <f t="shared" si="19"/>
        <v>0</v>
      </c>
      <c r="Q191" s="230">
        <v>0</v>
      </c>
      <c r="R191" s="231">
        <v>0</v>
      </c>
      <c r="S191" s="229">
        <f t="shared" si="22"/>
        <v>0</v>
      </c>
      <c r="U191" s="226">
        <f t="shared" si="20"/>
        <v>0</v>
      </c>
    </row>
    <row r="192" spans="1:21" ht="16">
      <c r="A192" s="234">
        <v>3316</v>
      </c>
      <c r="B192" s="234" t="s">
        <v>550</v>
      </c>
      <c r="C192" s="284">
        <v>0</v>
      </c>
      <c r="D192" s="284"/>
      <c r="E192" s="285"/>
      <c r="F192" s="284">
        <f t="shared" si="18"/>
        <v>0</v>
      </c>
      <c r="G192" s="284"/>
      <c r="H192" s="286">
        <v>0</v>
      </c>
      <c r="I192" s="222">
        <v>0</v>
      </c>
      <c r="K192" s="225">
        <f t="shared" si="21"/>
        <v>0</v>
      </c>
      <c r="L192" s="228">
        <f t="shared" si="25"/>
        <v>0</v>
      </c>
      <c r="N192" s="225">
        <f t="shared" si="23"/>
        <v>0</v>
      </c>
      <c r="P192" s="229">
        <f t="shared" si="19"/>
        <v>0</v>
      </c>
      <c r="Q192" s="230">
        <v>0</v>
      </c>
      <c r="R192" s="231">
        <v>0</v>
      </c>
      <c r="S192" s="229">
        <f t="shared" si="22"/>
        <v>0</v>
      </c>
      <c r="U192" s="226">
        <f t="shared" si="20"/>
        <v>0</v>
      </c>
    </row>
    <row r="193" spans="1:21" ht="16">
      <c r="A193" s="234">
        <v>3317</v>
      </c>
      <c r="B193" s="234" t="s">
        <v>551</v>
      </c>
      <c r="C193" s="284">
        <v>0</v>
      </c>
      <c r="D193" s="284"/>
      <c r="E193" s="285"/>
      <c r="F193" s="284">
        <f t="shared" si="18"/>
        <v>0</v>
      </c>
      <c r="G193" s="284"/>
      <c r="H193" s="286">
        <v>0</v>
      </c>
      <c r="I193" s="222">
        <v>0</v>
      </c>
      <c r="K193" s="225">
        <f t="shared" si="21"/>
        <v>0</v>
      </c>
      <c r="L193" s="228">
        <f t="shared" si="25"/>
        <v>0</v>
      </c>
      <c r="N193" s="225">
        <f t="shared" si="23"/>
        <v>0</v>
      </c>
      <c r="P193" s="229">
        <f t="shared" si="19"/>
        <v>0</v>
      </c>
      <c r="Q193" s="230">
        <v>0</v>
      </c>
      <c r="R193" s="231">
        <v>0</v>
      </c>
      <c r="S193" s="229">
        <f t="shared" si="22"/>
        <v>0</v>
      </c>
      <c r="U193" s="226">
        <f t="shared" si="20"/>
        <v>0</v>
      </c>
    </row>
    <row r="194" spans="1:21" ht="16">
      <c r="A194" s="234">
        <v>3318</v>
      </c>
      <c r="B194" s="234" t="s">
        <v>552</v>
      </c>
      <c r="C194" s="281">
        <v>40374876742</v>
      </c>
      <c r="D194" s="281"/>
      <c r="E194" s="282"/>
      <c r="F194" s="281">
        <f t="shared" si="18"/>
        <v>40374876742</v>
      </c>
      <c r="G194" s="281"/>
      <c r="H194" s="283">
        <v>94054243274</v>
      </c>
      <c r="I194" s="222">
        <v>3570014173</v>
      </c>
      <c r="K194" s="225">
        <f t="shared" si="21"/>
        <v>3570014173</v>
      </c>
      <c r="L194" s="228">
        <f t="shared" si="25"/>
        <v>40374876742</v>
      </c>
      <c r="N194" s="225">
        <f t="shared" si="23"/>
        <v>40374876742</v>
      </c>
      <c r="O194" s="225">
        <v>-22900000000</v>
      </c>
      <c r="P194" s="229">
        <f t="shared" si="19"/>
        <v>111529120016</v>
      </c>
      <c r="Q194" s="230">
        <v>-11904215397</v>
      </c>
      <c r="R194" s="231">
        <v>1075253427</v>
      </c>
      <c r="S194" s="229">
        <f t="shared" si="22"/>
        <v>-10828961970</v>
      </c>
      <c r="T194" s="220">
        <f>-28514527655-15000000000</f>
        <v>-43514527655</v>
      </c>
      <c r="U194" s="226">
        <f t="shared" si="20"/>
        <v>60755644564</v>
      </c>
    </row>
    <row r="195" spans="1:21" ht="16">
      <c r="A195" s="233">
        <v>332</v>
      </c>
      <c r="B195" s="233" t="s">
        <v>553</v>
      </c>
      <c r="C195" s="284">
        <v>824299247081.74109</v>
      </c>
      <c r="D195" s="284"/>
      <c r="E195" s="285"/>
      <c r="F195" s="284">
        <f t="shared" ref="F195:F204" si="26">+C195+D195+E195</f>
        <v>824299247081.74109</v>
      </c>
      <c r="G195" s="284"/>
      <c r="H195" s="286">
        <v>0</v>
      </c>
      <c r="I195" s="222">
        <v>-1474582308</v>
      </c>
      <c r="K195" s="225">
        <f t="shared" si="21"/>
        <v>-1474582308</v>
      </c>
      <c r="L195" s="228">
        <f t="shared" si="25"/>
        <v>824299247081.74109</v>
      </c>
      <c r="N195" s="225">
        <f t="shared" si="23"/>
        <v>824299247081.74109</v>
      </c>
      <c r="P195" s="229">
        <f t="shared" ref="P195:P205" si="27">+H195+N195+O195</f>
        <v>824299247081.74109</v>
      </c>
      <c r="Q195" s="230">
        <v>0</v>
      </c>
      <c r="R195" s="231">
        <v>0</v>
      </c>
      <c r="S195" s="229">
        <f t="shared" si="22"/>
        <v>0</v>
      </c>
      <c r="U195" s="226">
        <f t="shared" ref="U195:U205" si="28">+K195+P195+S195+T195</f>
        <v>822824664773.74109</v>
      </c>
    </row>
    <row r="196" spans="1:21" ht="16">
      <c r="A196" s="234">
        <v>3321</v>
      </c>
      <c r="B196" s="234" t="s">
        <v>554</v>
      </c>
      <c r="C196" s="284">
        <v>0</v>
      </c>
      <c r="D196" s="284"/>
      <c r="E196" s="285"/>
      <c r="F196" s="284">
        <f t="shared" si="26"/>
        <v>0</v>
      </c>
      <c r="G196" s="284"/>
      <c r="H196" s="286">
        <v>0</v>
      </c>
      <c r="I196" s="222">
        <v>0</v>
      </c>
      <c r="K196" s="225">
        <f t="shared" ref="K196:K203" si="29">+I196+J196</f>
        <v>0</v>
      </c>
      <c r="L196" s="228">
        <f t="shared" si="25"/>
        <v>0</v>
      </c>
      <c r="N196" s="225">
        <f t="shared" si="23"/>
        <v>0</v>
      </c>
      <c r="P196" s="229">
        <f t="shared" si="27"/>
        <v>0</v>
      </c>
      <c r="Q196" s="230">
        <v>0</v>
      </c>
      <c r="R196" s="231">
        <v>0</v>
      </c>
      <c r="S196" s="229">
        <f t="shared" si="22"/>
        <v>0</v>
      </c>
      <c r="U196" s="226">
        <f t="shared" si="28"/>
        <v>0</v>
      </c>
    </row>
    <row r="197" spans="1:21" ht="16">
      <c r="A197" s="234">
        <v>3322</v>
      </c>
      <c r="B197" s="234" t="s">
        <v>555</v>
      </c>
      <c r="C197" s="284">
        <v>0</v>
      </c>
      <c r="D197" s="284"/>
      <c r="E197" s="285"/>
      <c r="F197" s="284">
        <f t="shared" si="26"/>
        <v>0</v>
      </c>
      <c r="G197" s="284"/>
      <c r="H197" s="286">
        <v>0</v>
      </c>
      <c r="I197" s="222">
        <v>0</v>
      </c>
      <c r="K197" s="225">
        <f t="shared" si="29"/>
        <v>0</v>
      </c>
      <c r="L197" s="228">
        <f t="shared" si="25"/>
        <v>0</v>
      </c>
      <c r="N197" s="225">
        <f t="shared" si="23"/>
        <v>0</v>
      </c>
      <c r="P197" s="229">
        <f t="shared" si="27"/>
        <v>0</v>
      </c>
      <c r="Q197" s="230">
        <v>0</v>
      </c>
      <c r="R197" s="231">
        <v>0</v>
      </c>
      <c r="S197" s="229">
        <f t="shared" ref="S197:S205" si="30">+Q197+R197</f>
        <v>0</v>
      </c>
      <c r="U197" s="226">
        <f t="shared" si="28"/>
        <v>0</v>
      </c>
    </row>
    <row r="198" spans="1:21" ht="16">
      <c r="A198" s="234">
        <v>3323</v>
      </c>
      <c r="B198" s="234" t="s">
        <v>556</v>
      </c>
      <c r="C198" s="284">
        <v>65160130186.105705</v>
      </c>
      <c r="D198" s="284"/>
      <c r="E198" s="285"/>
      <c r="F198" s="284">
        <f t="shared" si="26"/>
        <v>65160130186.105705</v>
      </c>
      <c r="G198" s="284"/>
      <c r="H198" s="286">
        <v>0</v>
      </c>
      <c r="I198" s="222">
        <v>0</v>
      </c>
      <c r="K198" s="225">
        <f t="shared" si="29"/>
        <v>0</v>
      </c>
      <c r="L198" s="228">
        <f t="shared" si="25"/>
        <v>65160130186.105705</v>
      </c>
      <c r="N198" s="225">
        <f t="shared" si="23"/>
        <v>65160130186.105705</v>
      </c>
      <c r="P198" s="229">
        <f t="shared" si="27"/>
        <v>65160130186.105705</v>
      </c>
      <c r="Q198" s="230">
        <v>0</v>
      </c>
      <c r="R198" s="231">
        <v>0</v>
      </c>
      <c r="S198" s="229">
        <f t="shared" si="30"/>
        <v>0</v>
      </c>
      <c r="U198" s="226">
        <f t="shared" si="28"/>
        <v>65160130186.105705</v>
      </c>
    </row>
    <row r="199" spans="1:21" ht="16">
      <c r="A199" s="234">
        <v>3324</v>
      </c>
      <c r="B199" s="234" t="s">
        <v>557</v>
      </c>
      <c r="C199" s="284">
        <v>759139116895.63538</v>
      </c>
      <c r="D199" s="284"/>
      <c r="E199" s="285"/>
      <c r="F199" s="284">
        <f t="shared" si="26"/>
        <v>759139116895.63538</v>
      </c>
      <c r="G199" s="284"/>
      <c r="H199" s="286">
        <v>0</v>
      </c>
      <c r="I199" s="222">
        <v>-1474582308</v>
      </c>
      <c r="K199" s="225">
        <f t="shared" si="29"/>
        <v>-1474582308</v>
      </c>
      <c r="L199" s="228">
        <f t="shared" si="25"/>
        <v>759139116895.63538</v>
      </c>
      <c r="N199" s="225">
        <f t="shared" si="23"/>
        <v>759139116895.63538</v>
      </c>
      <c r="P199" s="229">
        <f t="shared" si="27"/>
        <v>759139116895.63538</v>
      </c>
      <c r="Q199" s="230">
        <v>0</v>
      </c>
      <c r="R199" s="231">
        <v>0</v>
      </c>
      <c r="S199" s="229">
        <f t="shared" si="30"/>
        <v>0</v>
      </c>
      <c r="U199" s="226">
        <f t="shared" si="28"/>
        <v>757664534587.63538</v>
      </c>
    </row>
    <row r="200" spans="1:21" ht="16">
      <c r="A200" s="234">
        <v>3325</v>
      </c>
      <c r="B200" s="234" t="s">
        <v>558</v>
      </c>
      <c r="C200" s="284">
        <v>0</v>
      </c>
      <c r="D200" s="284"/>
      <c r="E200" s="285"/>
      <c r="F200" s="284">
        <f t="shared" si="26"/>
        <v>0</v>
      </c>
      <c r="G200" s="284"/>
      <c r="H200" s="286">
        <v>0</v>
      </c>
      <c r="I200" s="222">
        <v>0</v>
      </c>
      <c r="K200" s="225">
        <f t="shared" si="29"/>
        <v>0</v>
      </c>
      <c r="L200" s="228">
        <f t="shared" si="25"/>
        <v>0</v>
      </c>
      <c r="N200" s="225">
        <f t="shared" si="23"/>
        <v>0</v>
      </c>
      <c r="P200" s="229">
        <f t="shared" si="27"/>
        <v>0</v>
      </c>
      <c r="Q200" s="230">
        <v>0</v>
      </c>
      <c r="R200" s="231">
        <v>0</v>
      </c>
      <c r="S200" s="229">
        <f t="shared" si="30"/>
        <v>0</v>
      </c>
      <c r="U200" s="226">
        <f t="shared" si="28"/>
        <v>0</v>
      </c>
    </row>
    <row r="201" spans="1:21" ht="16">
      <c r="A201" s="234">
        <v>3326</v>
      </c>
      <c r="B201" s="234" t="s">
        <v>559</v>
      </c>
      <c r="C201" s="281">
        <v>0</v>
      </c>
      <c r="D201" s="281"/>
      <c r="E201" s="282"/>
      <c r="F201" s="281">
        <f t="shared" si="26"/>
        <v>0</v>
      </c>
      <c r="G201" s="281"/>
      <c r="H201" s="283">
        <v>0</v>
      </c>
      <c r="I201" s="222">
        <v>0</v>
      </c>
      <c r="K201" s="225">
        <f t="shared" si="29"/>
        <v>0</v>
      </c>
      <c r="L201" s="228">
        <f t="shared" si="25"/>
        <v>0</v>
      </c>
      <c r="N201" s="225">
        <f t="shared" si="23"/>
        <v>0</v>
      </c>
      <c r="P201" s="229">
        <f t="shared" si="27"/>
        <v>0</v>
      </c>
      <c r="Q201" s="230">
        <v>0</v>
      </c>
      <c r="R201" s="231">
        <v>0</v>
      </c>
      <c r="S201" s="229">
        <f t="shared" si="30"/>
        <v>0</v>
      </c>
      <c r="U201" s="226">
        <f t="shared" si="28"/>
        <v>0</v>
      </c>
    </row>
    <row r="202" spans="1:21" ht="16">
      <c r="A202" s="234">
        <v>3327</v>
      </c>
      <c r="B202" s="234" t="s">
        <v>560</v>
      </c>
      <c r="C202" s="281">
        <v>0</v>
      </c>
      <c r="D202" s="281"/>
      <c r="E202" s="282"/>
      <c r="F202" s="281">
        <f t="shared" si="26"/>
        <v>0</v>
      </c>
      <c r="G202" s="281"/>
      <c r="H202" s="283">
        <v>0</v>
      </c>
      <c r="I202" s="222">
        <v>0</v>
      </c>
      <c r="K202" s="225">
        <f t="shared" si="29"/>
        <v>0</v>
      </c>
      <c r="L202" s="228">
        <f t="shared" si="25"/>
        <v>0</v>
      </c>
      <c r="N202" s="225">
        <f t="shared" si="23"/>
        <v>0</v>
      </c>
      <c r="P202" s="229">
        <f t="shared" si="27"/>
        <v>0</v>
      </c>
      <c r="Q202" s="230">
        <v>0</v>
      </c>
      <c r="R202" s="231">
        <v>0</v>
      </c>
      <c r="S202" s="229">
        <f t="shared" si="30"/>
        <v>0</v>
      </c>
      <c r="U202" s="226">
        <f t="shared" si="28"/>
        <v>0</v>
      </c>
    </row>
    <row r="203" spans="1:21" ht="16">
      <c r="A203" s="234">
        <v>3328</v>
      </c>
      <c r="B203" s="234" t="s">
        <v>561</v>
      </c>
      <c r="C203" s="281">
        <v>0</v>
      </c>
      <c r="D203" s="281"/>
      <c r="E203" s="282"/>
      <c r="F203" s="281">
        <f t="shared" si="26"/>
        <v>0</v>
      </c>
      <c r="G203" s="281"/>
      <c r="H203" s="283">
        <v>0</v>
      </c>
      <c r="I203" s="222">
        <v>0</v>
      </c>
      <c r="K203" s="225">
        <f t="shared" si="29"/>
        <v>0</v>
      </c>
      <c r="L203" s="228">
        <f t="shared" si="25"/>
        <v>0</v>
      </c>
      <c r="N203" s="225">
        <f t="shared" si="23"/>
        <v>0</v>
      </c>
      <c r="P203" s="229">
        <f t="shared" si="27"/>
        <v>0</v>
      </c>
      <c r="Q203" s="230">
        <v>0</v>
      </c>
      <c r="R203" s="231">
        <v>0</v>
      </c>
      <c r="S203" s="229">
        <f t="shared" si="30"/>
        <v>0</v>
      </c>
      <c r="U203" s="226">
        <f t="shared" si="28"/>
        <v>0</v>
      </c>
    </row>
    <row r="204" spans="1:21" ht="16">
      <c r="A204" s="287"/>
      <c r="B204" s="287"/>
      <c r="C204" s="281"/>
      <c r="D204" s="281"/>
      <c r="E204" s="282"/>
      <c r="F204" s="281">
        <f t="shared" si="26"/>
        <v>0</v>
      </c>
      <c r="G204" s="281"/>
      <c r="H204" s="283">
        <v>-971488434.45000076</v>
      </c>
      <c r="I204" s="220">
        <f>+I145-I146+I173</f>
        <v>-313818627</v>
      </c>
      <c r="J204" s="220">
        <f t="shared" ref="J204:O204" si="31">+J2-J84-J146+J173</f>
        <v>0</v>
      </c>
      <c r="K204" s="220">
        <f>+K145-K146+K173</f>
        <v>-313818627</v>
      </c>
      <c r="L204" s="220">
        <f>+L2-L84-L146+L173</f>
        <v>680177847388.08594</v>
      </c>
      <c r="M204" s="220">
        <f t="shared" si="31"/>
        <v>0</v>
      </c>
      <c r="N204" s="220">
        <f>+N2-N84-N146+N173</f>
        <v>680177847388.08594</v>
      </c>
      <c r="O204" s="220">
        <f t="shared" si="31"/>
        <v>0</v>
      </c>
      <c r="P204" s="220">
        <f>+P145-P146+P173</f>
        <v>-5187308522.9354248</v>
      </c>
      <c r="Q204" s="220">
        <f>+Q145-Q146+Q173</f>
        <v>-4727645724</v>
      </c>
      <c r="R204" s="220">
        <f>+R145-R146+R173</f>
        <v>-626161311</v>
      </c>
      <c r="S204" s="220">
        <f>+S145-S146+S173</f>
        <v>-5353807035</v>
      </c>
      <c r="T204" s="220">
        <f>+T2-T84-T146+T173</f>
        <v>-0.27001953125</v>
      </c>
      <c r="U204" s="226">
        <f>+U145-U146+U173</f>
        <v>-10854934185.205444</v>
      </c>
    </row>
    <row r="205" spans="1:21">
      <c r="H205" s="288"/>
      <c r="K205" s="289"/>
      <c r="N205" s="289"/>
      <c r="P205" s="229">
        <f t="shared" si="27"/>
        <v>0</v>
      </c>
      <c r="Q205" s="230"/>
      <c r="R205" s="231"/>
      <c r="S205" s="229">
        <f t="shared" si="30"/>
        <v>0</v>
      </c>
      <c r="U205" s="226">
        <f t="shared" si="28"/>
        <v>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S57"/>
  <sheetViews>
    <sheetView zoomScale="80" zoomScaleNormal="80" zoomScalePageLayoutView="8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R10" sqref="R10"/>
    </sheetView>
  </sheetViews>
  <sheetFormatPr baseColWidth="10" defaultColWidth="11.33203125" defaultRowHeight="13"/>
  <cols>
    <col min="1" max="1" width="11.33203125" style="292"/>
    <col min="2" max="2" width="42.6640625" style="292" customWidth="1"/>
    <col min="3" max="3" width="22.6640625" style="292" hidden="1" customWidth="1"/>
    <col min="4" max="4" width="28" style="292" hidden="1" customWidth="1"/>
    <col min="5" max="5" width="22.6640625" style="292" hidden="1" customWidth="1"/>
    <col min="6" max="6" width="22.6640625" style="292" customWidth="1"/>
    <col min="7" max="7" width="22.6640625" style="292" hidden="1" customWidth="1"/>
    <col min="8" max="9" width="20.5" style="292" hidden="1" customWidth="1"/>
    <col min="10" max="10" width="20.5" style="292" customWidth="1"/>
    <col min="11" max="11" width="20.33203125" style="292" hidden="1" customWidth="1"/>
    <col min="12" max="12" width="19.33203125" style="292" hidden="1" customWidth="1"/>
    <col min="13" max="13" width="20.5" style="292" hidden="1" customWidth="1"/>
    <col min="14" max="14" width="20.33203125" style="292" hidden="1" customWidth="1"/>
    <col min="15" max="15" width="21.5" style="292" hidden="1" customWidth="1"/>
    <col min="16" max="16" width="19" style="292" hidden="1" customWidth="1"/>
    <col min="17" max="17" width="20" style="292" hidden="1" customWidth="1"/>
    <col min="18" max="18" width="23.83203125" style="292" bestFit="1" customWidth="1"/>
    <col min="19" max="16384" width="11.33203125" style="292"/>
  </cols>
  <sheetData>
    <row r="1" spans="1:19">
      <c r="A1" s="290" t="s">
        <v>569</v>
      </c>
      <c r="B1" s="290" t="s">
        <v>570</v>
      </c>
      <c r="C1" s="291" t="s">
        <v>571</v>
      </c>
      <c r="D1" s="291"/>
      <c r="E1" s="291"/>
      <c r="F1" s="291"/>
      <c r="G1" s="291"/>
      <c r="H1" s="291"/>
    </row>
    <row r="2" spans="1:19">
      <c r="A2" s="290"/>
      <c r="B2" s="290"/>
      <c r="C2" s="291"/>
      <c r="D2" s="291"/>
      <c r="E2" s="291"/>
      <c r="F2" s="291"/>
      <c r="G2" s="291"/>
      <c r="H2" s="291"/>
    </row>
    <row r="3" spans="1:19">
      <c r="A3" s="290"/>
      <c r="B3" s="290"/>
      <c r="C3" s="293" t="s">
        <v>572</v>
      </c>
      <c r="D3" s="293" t="s">
        <v>573</v>
      </c>
      <c r="E3" s="293" t="s">
        <v>574</v>
      </c>
      <c r="F3" s="316" t="s">
        <v>562</v>
      </c>
      <c r="G3" s="293" t="s">
        <v>575</v>
      </c>
      <c r="H3" s="290" t="s">
        <v>576</v>
      </c>
      <c r="I3" s="290" t="s">
        <v>577</v>
      </c>
      <c r="J3" s="317" t="s">
        <v>563</v>
      </c>
      <c r="K3" s="290" t="s">
        <v>578</v>
      </c>
      <c r="L3" s="290" t="s">
        <v>579</v>
      </c>
      <c r="M3" s="290" t="s">
        <v>580</v>
      </c>
      <c r="N3" s="290" t="s">
        <v>581</v>
      </c>
      <c r="O3" s="290" t="s">
        <v>582</v>
      </c>
      <c r="P3" s="290" t="s">
        <v>583</v>
      </c>
      <c r="Q3" s="290" t="s">
        <v>584</v>
      </c>
    </row>
    <row r="4" spans="1:19" ht="28" customHeight="1">
      <c r="A4" s="294" t="s">
        <v>585</v>
      </c>
      <c r="B4" s="290" t="s">
        <v>586</v>
      </c>
      <c r="C4" s="295">
        <v>1281909144</v>
      </c>
      <c r="D4" s="296"/>
      <c r="E4" s="295">
        <v>1379432644</v>
      </c>
      <c r="F4" s="318">
        <v>2.6613417880000001</v>
      </c>
      <c r="G4" s="318">
        <v>1274615780</v>
      </c>
      <c r="H4" s="318">
        <v>1347387649</v>
      </c>
      <c r="I4" s="319">
        <v>1642934157</v>
      </c>
      <c r="J4" s="319">
        <v>6.9262793739999999</v>
      </c>
      <c r="K4" s="297"/>
      <c r="L4" s="297"/>
      <c r="M4" s="297"/>
      <c r="N4" s="297"/>
      <c r="O4" s="297"/>
      <c r="P4" s="297"/>
      <c r="Q4" s="297">
        <f>SUM(C4:P4)</f>
        <v>6926279383.5876207</v>
      </c>
    </row>
    <row r="5" spans="1:19" ht="28" customHeight="1">
      <c r="A5" s="294" t="s">
        <v>587</v>
      </c>
      <c r="B5" s="290" t="s">
        <v>588</v>
      </c>
      <c r="C5" s="295"/>
      <c r="D5" s="296">
        <v>0</v>
      </c>
      <c r="E5" s="295">
        <v>0</v>
      </c>
      <c r="F5" s="318">
        <v>0</v>
      </c>
      <c r="G5" s="318">
        <v>0</v>
      </c>
      <c r="H5" s="318">
        <v>0</v>
      </c>
      <c r="I5" s="319">
        <v>0</v>
      </c>
      <c r="J5" s="319">
        <v>0</v>
      </c>
      <c r="K5" s="297"/>
      <c r="L5" s="297"/>
      <c r="M5" s="297"/>
      <c r="N5" s="297"/>
      <c r="O5" s="297"/>
      <c r="P5" s="297"/>
      <c r="Q5" s="297">
        <f t="shared" ref="Q5:Q19" si="0">SUM(C5:P5)</f>
        <v>0</v>
      </c>
    </row>
    <row r="6" spans="1:19" ht="28" customHeight="1">
      <c r="A6" s="294" t="s">
        <v>589</v>
      </c>
      <c r="B6" s="290" t="s">
        <v>590</v>
      </c>
      <c r="C6" s="295">
        <v>47361994635</v>
      </c>
      <c r="D6" s="296">
        <v>49021199108</v>
      </c>
      <c r="E6" s="295">
        <v>48768378405</v>
      </c>
      <c r="F6" s="318">
        <v>145.15157214800001</v>
      </c>
      <c r="G6" s="318">
        <v>50057021366</v>
      </c>
      <c r="H6" s="318">
        <v>51702963494</v>
      </c>
      <c r="I6" s="319">
        <v>52257904580</v>
      </c>
      <c r="J6" s="319">
        <v>299.16946158799999</v>
      </c>
      <c r="K6" s="297"/>
      <c r="L6" s="297"/>
      <c r="M6" s="297"/>
      <c r="N6" s="297"/>
      <c r="O6" s="297"/>
      <c r="P6" s="297"/>
      <c r="Q6" s="297">
        <f t="shared" si="0"/>
        <v>299169462032.32104</v>
      </c>
    </row>
    <row r="7" spans="1:19" ht="28" customHeight="1">
      <c r="A7" s="294" t="s">
        <v>591</v>
      </c>
      <c r="B7" s="290" t="s">
        <v>592</v>
      </c>
      <c r="C7" s="295">
        <f>1019011020+1144219</f>
        <v>1020155239</v>
      </c>
      <c r="D7" s="296">
        <v>1015138008</v>
      </c>
      <c r="E7" s="295">
        <v>1054016417</v>
      </c>
      <c r="F7" s="318">
        <v>3.089309664</v>
      </c>
      <c r="G7" s="318">
        <v>1052846611</v>
      </c>
      <c r="H7" s="318">
        <v>1055973333</v>
      </c>
      <c r="I7" s="319">
        <v>1072965335</v>
      </c>
      <c r="J7" s="319">
        <v>6.2710949429999996</v>
      </c>
      <c r="K7" s="297"/>
      <c r="L7" s="297"/>
      <c r="M7" s="297"/>
      <c r="N7" s="297"/>
      <c r="O7" s="297"/>
      <c r="P7" s="297"/>
      <c r="Q7" s="297">
        <f t="shared" si="0"/>
        <v>6271094952.360405</v>
      </c>
    </row>
    <row r="8" spans="1:19" ht="28" customHeight="1">
      <c r="A8" s="294" t="s">
        <v>593</v>
      </c>
      <c r="B8" s="290" t="s">
        <v>594</v>
      </c>
      <c r="C8" s="295">
        <v>134547525</v>
      </c>
      <c r="D8" s="296">
        <v>131518497</v>
      </c>
      <c r="E8" s="295">
        <v>138040304</v>
      </c>
      <c r="F8" s="318">
        <v>0.40410632600000002</v>
      </c>
      <c r="G8" s="318">
        <v>137900961</v>
      </c>
      <c r="H8" s="318">
        <v>138536781</v>
      </c>
      <c r="I8" s="319">
        <v>141551525</v>
      </c>
      <c r="J8" s="319">
        <v>0.82209559300000001</v>
      </c>
      <c r="K8" s="297"/>
      <c r="L8" s="297"/>
      <c r="M8" s="297"/>
      <c r="N8" s="297"/>
      <c r="O8" s="297"/>
      <c r="P8" s="297"/>
      <c r="Q8" s="297">
        <f t="shared" si="0"/>
        <v>822095594.22620201</v>
      </c>
    </row>
    <row r="9" spans="1:19" ht="28" customHeight="1">
      <c r="A9" s="298" t="s">
        <v>595</v>
      </c>
      <c r="B9" s="299" t="s">
        <v>596</v>
      </c>
      <c r="C9" s="300">
        <v>3525596518</v>
      </c>
      <c r="D9" s="296">
        <v>3608919581</v>
      </c>
      <c r="E9" s="295">
        <v>3569279751</v>
      </c>
      <c r="F9" s="318">
        <v>10.703795850000001</v>
      </c>
      <c r="G9" s="318">
        <v>3872826189</v>
      </c>
      <c r="H9" s="318">
        <v>4334363406</v>
      </c>
      <c r="I9" s="319">
        <v>4168222314</v>
      </c>
      <c r="J9" s="319">
        <v>23.079207758999999</v>
      </c>
      <c r="K9" s="301"/>
      <c r="L9" s="301"/>
      <c r="M9" s="301"/>
      <c r="N9" s="301"/>
      <c r="O9" s="297"/>
      <c r="P9" s="301"/>
      <c r="Q9" s="301">
        <f>SUM(C9:P9)</f>
        <v>23079207792.783005</v>
      </c>
      <c r="R9" s="313">
        <f>+F9+F10+F28+F29+F31+F32</f>
        <v>47.107945285999996</v>
      </c>
      <c r="S9" s="313">
        <f>+J9+J10+J12+J28+J29+J31+J32</f>
        <v>96.32531877800001</v>
      </c>
    </row>
    <row r="10" spans="1:19" ht="28" customHeight="1">
      <c r="A10" s="298" t="s">
        <v>597</v>
      </c>
      <c r="B10" s="299" t="s">
        <v>598</v>
      </c>
      <c r="C10" s="300">
        <v>257562747</v>
      </c>
      <c r="D10" s="296">
        <v>266211028</v>
      </c>
      <c r="E10" s="295">
        <v>267316662</v>
      </c>
      <c r="F10" s="318">
        <v>0.79109043700000004</v>
      </c>
      <c r="G10" s="318">
        <v>271058213</v>
      </c>
      <c r="H10" s="318">
        <v>282966725</v>
      </c>
      <c r="I10" s="319">
        <v>293737616</v>
      </c>
      <c r="J10" s="319">
        <v>1.638852991</v>
      </c>
      <c r="K10" s="301"/>
      <c r="L10" s="301"/>
      <c r="M10" s="301"/>
      <c r="N10" s="301"/>
      <c r="O10" s="297"/>
      <c r="P10" s="301"/>
      <c r="Q10" s="301">
        <f t="shared" si="0"/>
        <v>1638852993.4299436</v>
      </c>
    </row>
    <row r="11" spans="1:19" ht="28" customHeight="1">
      <c r="A11" s="294" t="s">
        <v>599</v>
      </c>
      <c r="B11" s="290" t="s">
        <v>600</v>
      </c>
      <c r="C11" s="295">
        <v>4926308</v>
      </c>
      <c r="D11" s="296">
        <v>4886294</v>
      </c>
      <c r="E11" s="295">
        <v>4132205</v>
      </c>
      <c r="F11" s="318">
        <v>1.3944807E-2</v>
      </c>
      <c r="G11" s="318">
        <v>3861194</v>
      </c>
      <c r="H11" s="318">
        <v>3541979</v>
      </c>
      <c r="I11" s="319">
        <v>3647458</v>
      </c>
      <c r="J11" s="319">
        <v>2.4995438000000002E-2</v>
      </c>
      <c r="K11" s="297"/>
      <c r="L11" s="297"/>
      <c r="M11" s="297"/>
      <c r="N11" s="297"/>
      <c r="O11" s="297"/>
      <c r="P11" s="297"/>
      <c r="Q11" s="297">
        <f t="shared" si="0"/>
        <v>24995438.038940243</v>
      </c>
    </row>
    <row r="12" spans="1:19" ht="28" customHeight="1">
      <c r="A12" s="298" t="s">
        <v>601</v>
      </c>
      <c r="B12" s="299" t="s">
        <v>602</v>
      </c>
      <c r="C12" s="300">
        <v>117125</v>
      </c>
      <c r="D12" s="296">
        <v>117125</v>
      </c>
      <c r="E12" s="295">
        <v>117125</v>
      </c>
      <c r="F12" s="318">
        <v>3.5137500000000002E-4</v>
      </c>
      <c r="G12" s="318">
        <v>117125</v>
      </c>
      <c r="H12" s="318">
        <v>97125</v>
      </c>
      <c r="I12" s="319">
        <v>97125</v>
      </c>
      <c r="J12" s="319">
        <v>6.6275000000000004E-4</v>
      </c>
      <c r="K12" s="301"/>
      <c r="L12" s="301"/>
      <c r="M12" s="301"/>
      <c r="N12" s="301"/>
      <c r="O12" s="297"/>
      <c r="P12" s="301"/>
      <c r="Q12" s="301">
        <f t="shared" si="0"/>
        <v>662750.00101412495</v>
      </c>
    </row>
    <row r="13" spans="1:19" ht="28" customHeight="1">
      <c r="A13" s="294" t="s">
        <v>603</v>
      </c>
      <c r="B13" s="290" t="s">
        <v>604</v>
      </c>
      <c r="C13" s="295"/>
      <c r="D13" s="296">
        <v>0</v>
      </c>
      <c r="E13" s="295">
        <v>0</v>
      </c>
      <c r="F13" s="318">
        <v>0</v>
      </c>
      <c r="G13" s="318">
        <v>0</v>
      </c>
      <c r="H13" s="318">
        <v>0</v>
      </c>
      <c r="I13" s="319">
        <v>0</v>
      </c>
      <c r="J13" s="319">
        <v>0</v>
      </c>
      <c r="K13" s="297"/>
      <c r="L13" s="297"/>
      <c r="M13" s="297"/>
      <c r="N13" s="297"/>
      <c r="O13" s="297"/>
      <c r="P13" s="297"/>
      <c r="Q13" s="297">
        <f t="shared" si="0"/>
        <v>0</v>
      </c>
    </row>
    <row r="14" spans="1:19" ht="28" customHeight="1">
      <c r="A14" s="298" t="s">
        <v>605</v>
      </c>
      <c r="B14" s="299" t="s">
        <v>606</v>
      </c>
      <c r="C14" s="300">
        <v>9967368</v>
      </c>
      <c r="D14" s="296">
        <v>7309549</v>
      </c>
      <c r="E14" s="295">
        <v>5850610</v>
      </c>
      <c r="F14" s="318">
        <v>2.3127526999999998E-2</v>
      </c>
      <c r="G14" s="318">
        <v>4710047</v>
      </c>
      <c r="H14" s="318">
        <v>3937937</v>
      </c>
      <c r="I14" s="319">
        <v>10809046</v>
      </c>
      <c r="J14" s="319">
        <v>4.2584556999999995E-2</v>
      </c>
      <c r="K14" s="301"/>
      <c r="L14" s="301"/>
      <c r="M14" s="301"/>
      <c r="N14" s="301"/>
      <c r="O14" s="297"/>
      <c r="P14" s="301"/>
      <c r="Q14" s="301">
        <f t="shared" si="0"/>
        <v>42584557.065712079</v>
      </c>
    </row>
    <row r="15" spans="1:19" ht="28" customHeight="1">
      <c r="A15" s="298" t="s">
        <v>607</v>
      </c>
      <c r="B15" s="299" t="s">
        <v>608</v>
      </c>
      <c r="C15" s="300">
        <v>1816942</v>
      </c>
      <c r="D15" s="296">
        <v>1816235</v>
      </c>
      <c r="E15" s="295">
        <v>1815692</v>
      </c>
      <c r="F15" s="318">
        <v>5.4488690000000003E-3</v>
      </c>
      <c r="G15" s="318">
        <v>1813024</v>
      </c>
      <c r="H15" s="318">
        <v>1812285</v>
      </c>
      <c r="I15" s="319">
        <v>1808983</v>
      </c>
      <c r="J15" s="319">
        <v>1.0883161000000001E-2</v>
      </c>
      <c r="K15" s="301"/>
      <c r="L15" s="301"/>
      <c r="M15" s="301"/>
      <c r="N15" s="301"/>
      <c r="O15" s="297"/>
      <c r="P15" s="301"/>
      <c r="Q15" s="301">
        <f t="shared" si="0"/>
        <v>10883161.016332032</v>
      </c>
    </row>
    <row r="16" spans="1:19" ht="28" customHeight="1">
      <c r="A16" s="294" t="s">
        <v>609</v>
      </c>
      <c r="B16" s="290" t="s">
        <v>610</v>
      </c>
      <c r="C16" s="295"/>
      <c r="D16" s="296">
        <v>0</v>
      </c>
      <c r="E16" s="295">
        <v>0</v>
      </c>
      <c r="F16" s="318">
        <v>0</v>
      </c>
      <c r="G16" s="318">
        <v>0</v>
      </c>
      <c r="H16" s="318">
        <v>0</v>
      </c>
      <c r="I16" s="319">
        <v>0</v>
      </c>
      <c r="J16" s="319">
        <v>0</v>
      </c>
      <c r="K16" s="297"/>
      <c r="L16" s="297"/>
      <c r="M16" s="297"/>
      <c r="N16" s="297"/>
      <c r="O16" s="297"/>
      <c r="P16" s="297"/>
      <c r="Q16" s="297">
        <f t="shared" si="0"/>
        <v>0</v>
      </c>
    </row>
    <row r="17" spans="1:18" ht="28" customHeight="1">
      <c r="A17" s="294" t="s">
        <v>611</v>
      </c>
      <c r="B17" s="290" t="s">
        <v>612</v>
      </c>
      <c r="C17" s="295">
        <v>64541080</v>
      </c>
      <c r="D17" s="296">
        <v>63799630</v>
      </c>
      <c r="E17" s="295">
        <v>64181515</v>
      </c>
      <c r="F17" s="318">
        <v>0.19252222499999999</v>
      </c>
      <c r="G17" s="318">
        <v>63832895</v>
      </c>
      <c r="H17" s="318">
        <v>68918731</v>
      </c>
      <c r="I17" s="319">
        <v>68503615</v>
      </c>
      <c r="J17" s="319">
        <v>0.39377746599999996</v>
      </c>
      <c r="K17" s="297"/>
      <c r="L17" s="297"/>
      <c r="M17" s="297"/>
      <c r="N17" s="297"/>
      <c r="O17" s="297"/>
      <c r="P17" s="297"/>
      <c r="Q17" s="297">
        <f t="shared" si="0"/>
        <v>393777466.58629972</v>
      </c>
    </row>
    <row r="18" spans="1:18" ht="28" customHeight="1">
      <c r="A18" s="294" t="s">
        <v>613</v>
      </c>
      <c r="B18" s="290" t="s">
        <v>614</v>
      </c>
      <c r="C18" s="295"/>
      <c r="D18" s="296">
        <v>0</v>
      </c>
      <c r="E18" s="295">
        <v>0</v>
      </c>
      <c r="F18" s="318">
        <v>0</v>
      </c>
      <c r="G18" s="318">
        <v>0</v>
      </c>
      <c r="H18" s="318">
        <v>0</v>
      </c>
      <c r="I18" s="319">
        <v>0</v>
      </c>
      <c r="J18" s="319">
        <v>0</v>
      </c>
      <c r="K18" s="297"/>
      <c r="L18" s="297"/>
      <c r="M18" s="297"/>
      <c r="N18" s="297"/>
      <c r="O18" s="297"/>
      <c r="P18" s="297"/>
      <c r="Q18" s="297">
        <f t="shared" si="0"/>
        <v>0</v>
      </c>
    </row>
    <row r="19" spans="1:18" ht="28" customHeight="1">
      <c r="A19" s="294" t="s">
        <v>615</v>
      </c>
      <c r="B19" s="290" t="s">
        <v>616</v>
      </c>
      <c r="C19" s="295">
        <v>221622199</v>
      </c>
      <c r="D19" s="296">
        <v>228217864</v>
      </c>
      <c r="E19" s="295">
        <v>245134429</v>
      </c>
      <c r="F19" s="318">
        <v>0.69497449200000005</v>
      </c>
      <c r="G19" s="318">
        <v>252595145</v>
      </c>
      <c r="H19" s="318">
        <v>270362913</v>
      </c>
      <c r="I19" s="319">
        <v>287421960</v>
      </c>
      <c r="J19" s="319">
        <v>1.5053545100000001</v>
      </c>
      <c r="K19" s="297"/>
      <c r="L19" s="297"/>
      <c r="M19" s="297"/>
      <c r="N19" s="297"/>
      <c r="O19" s="297"/>
      <c r="P19" s="297"/>
      <c r="Q19" s="297">
        <f t="shared" si="0"/>
        <v>1505354512.2003288</v>
      </c>
    </row>
    <row r="20" spans="1:18" ht="28" customHeight="1">
      <c r="A20" s="294" t="s">
        <v>617</v>
      </c>
      <c r="B20" s="290" t="s">
        <v>618</v>
      </c>
      <c r="C20" s="295">
        <v>14545428</v>
      </c>
      <c r="D20" s="296">
        <v>13753816</v>
      </c>
      <c r="E20" s="295">
        <v>14040322</v>
      </c>
      <c r="F20" s="318">
        <v>4.2339566000000002E-2</v>
      </c>
      <c r="G20" s="318">
        <v>13526999</v>
      </c>
      <c r="H20" s="318">
        <v>18447908</v>
      </c>
      <c r="I20" s="319">
        <v>17697941</v>
      </c>
      <c r="J20" s="319">
        <v>9.2012414000000001E-2</v>
      </c>
      <c r="K20" s="297"/>
      <c r="L20" s="297"/>
      <c r="M20" s="297"/>
      <c r="N20" s="297"/>
      <c r="O20" s="297"/>
      <c r="P20" s="297"/>
      <c r="Q20" s="297">
        <f>SUM(C20:P20)</f>
        <v>92012414.134351984</v>
      </c>
    </row>
    <row r="21" spans="1:18" ht="28" customHeight="1">
      <c r="A21" s="294" t="s">
        <v>619</v>
      </c>
      <c r="B21" s="290" t="s">
        <v>620</v>
      </c>
      <c r="C21" s="295">
        <v>429205457</v>
      </c>
      <c r="D21" s="296">
        <v>463251263</v>
      </c>
      <c r="E21" s="295">
        <v>473800781</v>
      </c>
      <c r="F21" s="318">
        <v>1.366257501</v>
      </c>
      <c r="G21" s="318">
        <v>483572014</v>
      </c>
      <c r="H21" s="318">
        <v>497217151</v>
      </c>
      <c r="I21" s="319">
        <v>510647196</v>
      </c>
      <c r="J21" s="319">
        <v>2.8576938620000001</v>
      </c>
      <c r="K21" s="297"/>
      <c r="L21" s="297"/>
      <c r="M21" s="297"/>
      <c r="N21" s="297"/>
      <c r="O21" s="297"/>
      <c r="P21" s="297"/>
      <c r="Q21" s="297">
        <f t="shared" ref="Q21:Q46" si="1">SUM(C21:P21)</f>
        <v>2857693866.2239513</v>
      </c>
    </row>
    <row r="22" spans="1:18" ht="28" customHeight="1">
      <c r="A22" s="294" t="s">
        <v>621</v>
      </c>
      <c r="B22" s="290" t="s">
        <v>622</v>
      </c>
      <c r="C22" s="295">
        <v>1157710501</v>
      </c>
      <c r="D22" s="296">
        <v>1222933268</v>
      </c>
      <c r="E22" s="295">
        <v>1197120511</v>
      </c>
      <c r="F22" s="318">
        <v>3.5777642799999998</v>
      </c>
      <c r="G22" s="318">
        <v>1212735863</v>
      </c>
      <c r="H22" s="318">
        <v>1226889622</v>
      </c>
      <c r="I22" s="319">
        <v>1245616987</v>
      </c>
      <c r="J22" s="319">
        <v>7.2630067519999999</v>
      </c>
      <c r="K22" s="297"/>
      <c r="L22" s="297"/>
      <c r="M22" s="297"/>
      <c r="N22" s="297"/>
      <c r="O22" s="297"/>
      <c r="P22" s="297"/>
      <c r="Q22" s="297">
        <f t="shared" si="1"/>
        <v>7263006762.8407717</v>
      </c>
    </row>
    <row r="23" spans="1:18" ht="28" customHeight="1">
      <c r="A23" s="294" t="s">
        <v>623</v>
      </c>
      <c r="B23" s="290" t="s">
        <v>624</v>
      </c>
      <c r="C23" s="295">
        <v>68722000</v>
      </c>
      <c r="D23" s="296">
        <v>68923000</v>
      </c>
      <c r="E23" s="295">
        <v>70726500</v>
      </c>
      <c r="F23" s="318">
        <v>0.20837149999999999</v>
      </c>
      <c r="G23" s="318">
        <v>71517000</v>
      </c>
      <c r="H23" s="318">
        <v>72567000</v>
      </c>
      <c r="I23" s="319">
        <v>73177000</v>
      </c>
      <c r="J23" s="319">
        <v>0.42563249999999997</v>
      </c>
      <c r="K23" s="297"/>
      <c r="L23" s="297"/>
      <c r="M23" s="297"/>
      <c r="N23" s="297"/>
      <c r="O23" s="297"/>
      <c r="P23" s="297"/>
      <c r="Q23" s="297">
        <f t="shared" si="1"/>
        <v>425632500.634004</v>
      </c>
    </row>
    <row r="24" spans="1:18" ht="28" customHeight="1">
      <c r="A24" s="294" t="s">
        <v>625</v>
      </c>
      <c r="B24" s="290" t="s">
        <v>626</v>
      </c>
      <c r="C24" s="295">
        <v>938275</v>
      </c>
      <c r="D24" s="296">
        <v>1385260</v>
      </c>
      <c r="E24" s="295">
        <v>654149</v>
      </c>
      <c r="F24" s="318">
        <v>2.977684E-3</v>
      </c>
      <c r="G24" s="318">
        <v>793943</v>
      </c>
      <c r="H24" s="318">
        <v>371979</v>
      </c>
      <c r="I24" s="319">
        <v>275848</v>
      </c>
      <c r="J24" s="319">
        <v>4.4194539999999997E-3</v>
      </c>
      <c r="K24" s="297"/>
      <c r="L24" s="297"/>
      <c r="M24" s="297"/>
      <c r="N24" s="297"/>
      <c r="O24" s="297"/>
      <c r="P24" s="297"/>
      <c r="Q24" s="297">
        <f t="shared" si="1"/>
        <v>4419454.0073971385</v>
      </c>
    </row>
    <row r="25" spans="1:18" ht="28" customHeight="1">
      <c r="A25" s="294" t="s">
        <v>627</v>
      </c>
      <c r="B25" s="290" t="s">
        <v>628</v>
      </c>
      <c r="C25" s="295">
        <v>24035015</v>
      </c>
      <c r="D25" s="296">
        <v>16549673</v>
      </c>
      <c r="E25" s="295">
        <v>24016983</v>
      </c>
      <c r="F25" s="318">
        <v>6.4601670999999999E-2</v>
      </c>
      <c r="G25" s="318">
        <v>25472679</v>
      </c>
      <c r="H25" s="318">
        <v>26447908</v>
      </c>
      <c r="I25" s="319">
        <v>27471577</v>
      </c>
      <c r="J25" s="319">
        <v>0.14399383500000001</v>
      </c>
      <c r="K25" s="297"/>
      <c r="L25" s="297"/>
      <c r="M25" s="297"/>
      <c r="N25" s="297"/>
      <c r="O25" s="297"/>
      <c r="P25" s="297"/>
      <c r="Q25" s="297">
        <f t="shared" si="1"/>
        <v>143993835.20859548</v>
      </c>
    </row>
    <row r="26" spans="1:18" ht="28" customHeight="1">
      <c r="A26" s="294" t="s">
        <v>629</v>
      </c>
      <c r="B26" s="290" t="s">
        <v>630</v>
      </c>
      <c r="C26" s="295">
        <f>23843701+748427</f>
        <v>24592128</v>
      </c>
      <c r="D26" s="296">
        <v>23237650</v>
      </c>
      <c r="E26" s="295">
        <v>23014068</v>
      </c>
      <c r="F26" s="318">
        <v>7.0843846000000002E-2</v>
      </c>
      <c r="G26" s="318">
        <v>24854939</v>
      </c>
      <c r="H26" s="318">
        <v>23692346</v>
      </c>
      <c r="I26" s="319">
        <v>22933345</v>
      </c>
      <c r="J26" s="319">
        <v>0.14232447600000001</v>
      </c>
      <c r="K26" s="297"/>
      <c r="L26" s="297"/>
      <c r="M26" s="297"/>
      <c r="N26" s="297"/>
      <c r="O26" s="297"/>
      <c r="P26" s="297"/>
      <c r="Q26" s="297">
        <f t="shared" si="1"/>
        <v>142324476.21316832</v>
      </c>
    </row>
    <row r="27" spans="1:18" ht="28" customHeight="1">
      <c r="A27" s="294" t="s">
        <v>631</v>
      </c>
      <c r="B27" s="290" t="s">
        <v>632</v>
      </c>
      <c r="C27" s="295">
        <v>141220887</v>
      </c>
      <c r="D27" s="296">
        <v>139946643</v>
      </c>
      <c r="E27" s="295">
        <v>160683718</v>
      </c>
      <c r="F27" s="318">
        <v>0.44185124799999997</v>
      </c>
      <c r="G27" s="318">
        <v>99453015</v>
      </c>
      <c r="H27" s="318">
        <v>97901943</v>
      </c>
      <c r="I27" s="319">
        <v>104249638</v>
      </c>
      <c r="J27" s="319">
        <v>0.74345584399999998</v>
      </c>
      <c r="K27" s="297"/>
      <c r="L27" s="297"/>
      <c r="M27" s="297"/>
      <c r="N27" s="297"/>
      <c r="O27" s="297"/>
      <c r="P27" s="297"/>
      <c r="Q27" s="297">
        <f t="shared" si="1"/>
        <v>743455845.18530715</v>
      </c>
    </row>
    <row r="28" spans="1:18" ht="28" customHeight="1">
      <c r="A28" s="299" t="s">
        <v>633</v>
      </c>
      <c r="B28" s="299" t="s">
        <v>634</v>
      </c>
      <c r="C28" s="300">
        <v>9046953898</v>
      </c>
      <c r="D28" s="296">
        <v>9139017531</v>
      </c>
      <c r="E28" s="295">
        <v>9293793577</v>
      </c>
      <c r="F28" s="318">
        <v>27.479765006000001</v>
      </c>
      <c r="G28" s="318">
        <v>9635946189</v>
      </c>
      <c r="H28" s="318">
        <v>9967495006</v>
      </c>
      <c r="I28" s="319">
        <v>10120809540</v>
      </c>
      <c r="J28" s="319">
        <v>57.204015740999999</v>
      </c>
      <c r="K28" s="301"/>
      <c r="L28" s="301"/>
      <c r="M28" s="301"/>
      <c r="N28" s="301"/>
      <c r="O28" s="297"/>
      <c r="P28" s="301"/>
      <c r="Q28" s="301">
        <f t="shared" si="1"/>
        <v>57204015825.683784</v>
      </c>
      <c r="R28" s="302">
        <f>Q28+Q31</f>
        <v>65509886579.079063</v>
      </c>
    </row>
    <row r="29" spans="1:18" ht="28" customHeight="1">
      <c r="A29" s="301" t="s">
        <v>635</v>
      </c>
      <c r="B29" s="301" t="s">
        <v>636</v>
      </c>
      <c r="C29" s="301">
        <v>450172470</v>
      </c>
      <c r="D29" s="296">
        <v>449885231</v>
      </c>
      <c r="E29" s="295">
        <v>381288660</v>
      </c>
      <c r="F29" s="318">
        <v>1.281346361</v>
      </c>
      <c r="G29" s="318">
        <v>374549687</v>
      </c>
      <c r="H29" s="318">
        <v>382118140</v>
      </c>
      <c r="I29" s="319">
        <v>377665080</v>
      </c>
      <c r="J29" s="319">
        <v>2.4156792679999999</v>
      </c>
      <c r="K29" s="301"/>
      <c r="L29" s="301"/>
      <c r="M29" s="301"/>
      <c r="N29" s="301"/>
      <c r="O29" s="297"/>
      <c r="P29" s="297"/>
      <c r="Q29" s="297">
        <f t="shared" si="1"/>
        <v>2415679271.6970258</v>
      </c>
    </row>
    <row r="30" spans="1:18" ht="28" customHeight="1">
      <c r="A30" s="294" t="s">
        <v>637</v>
      </c>
      <c r="B30" s="290" t="s">
        <v>638</v>
      </c>
      <c r="C30" s="295">
        <v>150000</v>
      </c>
      <c r="D30" s="296">
        <v>150000</v>
      </c>
      <c r="E30" s="295">
        <v>150000</v>
      </c>
      <c r="F30" s="318">
        <v>4.4999999999999999E-4</v>
      </c>
      <c r="G30" s="318">
        <v>150000</v>
      </c>
      <c r="H30" s="318">
        <v>150000</v>
      </c>
      <c r="I30" s="319">
        <v>150000</v>
      </c>
      <c r="J30" s="319">
        <v>8.9999999999999998E-4</v>
      </c>
      <c r="K30" s="297"/>
      <c r="L30" s="297"/>
      <c r="M30" s="297"/>
      <c r="N30" s="297"/>
      <c r="O30" s="297"/>
      <c r="P30" s="297"/>
      <c r="Q30" s="297">
        <f t="shared" si="1"/>
        <v>900000.00134999992</v>
      </c>
    </row>
    <row r="31" spans="1:18" ht="28" customHeight="1">
      <c r="A31" s="298" t="s">
        <v>639</v>
      </c>
      <c r="B31" s="299" t="s">
        <v>640</v>
      </c>
      <c r="C31" s="300">
        <v>1351073325</v>
      </c>
      <c r="D31" s="296">
        <v>1361901270</v>
      </c>
      <c r="E31" s="295">
        <v>1376435574</v>
      </c>
      <c r="F31" s="318">
        <v>4.0894101689999998</v>
      </c>
      <c r="G31" s="318">
        <v>1387296419</v>
      </c>
      <c r="H31" s="318">
        <v>1406634608</v>
      </c>
      <c r="I31" s="319">
        <v>1422529545</v>
      </c>
      <c r="J31" s="319">
        <v>8.3058707409999997</v>
      </c>
      <c r="K31" s="301"/>
      <c r="L31" s="301"/>
      <c r="M31" s="301"/>
      <c r="N31" s="301"/>
      <c r="O31" s="297"/>
      <c r="P31" s="301"/>
      <c r="Q31" s="301">
        <f t="shared" si="1"/>
        <v>8305870753.3952818</v>
      </c>
    </row>
    <row r="32" spans="1:18" ht="28" customHeight="1">
      <c r="A32" s="298" t="s">
        <v>641</v>
      </c>
      <c r="B32" s="299" t="s">
        <v>642</v>
      </c>
      <c r="C32" s="300">
        <v>924931967</v>
      </c>
      <c r="D32" s="296">
        <v>919375765</v>
      </c>
      <c r="E32" s="295">
        <v>918229731</v>
      </c>
      <c r="F32" s="318">
        <v>2.7625374630000001</v>
      </c>
      <c r="G32" s="318">
        <v>916798823</v>
      </c>
      <c r="H32" s="318">
        <v>583048</v>
      </c>
      <c r="I32" s="319">
        <v>1110194</v>
      </c>
      <c r="J32" s="319">
        <v>3.6810295280000003</v>
      </c>
      <c r="K32" s="301"/>
      <c r="L32" s="301"/>
      <c r="M32" s="301"/>
      <c r="N32" s="301"/>
      <c r="O32" s="297"/>
      <c r="P32" s="301"/>
      <c r="Q32" s="301">
        <f t="shared" si="1"/>
        <v>3681029534.4435668</v>
      </c>
    </row>
    <row r="33" spans="1:18" ht="28" customHeight="1">
      <c r="A33" s="303" t="s">
        <v>643</v>
      </c>
      <c r="B33" s="290" t="s">
        <v>644</v>
      </c>
      <c r="C33" s="295"/>
      <c r="D33" s="296"/>
      <c r="E33" s="295">
        <v>0</v>
      </c>
      <c r="F33" s="318">
        <v>0</v>
      </c>
      <c r="G33" s="318">
        <v>0</v>
      </c>
      <c r="H33" s="318">
        <v>0</v>
      </c>
      <c r="I33" s="319">
        <v>0</v>
      </c>
      <c r="J33" s="319">
        <v>0</v>
      </c>
      <c r="K33" s="297"/>
      <c r="L33" s="297"/>
      <c r="M33" s="297"/>
      <c r="N33" s="297"/>
      <c r="O33" s="297"/>
      <c r="P33" s="297"/>
      <c r="Q33" s="297">
        <f t="shared" si="1"/>
        <v>0</v>
      </c>
    </row>
    <row r="34" spans="1:18" ht="28" customHeight="1">
      <c r="A34" s="303" t="s">
        <v>645</v>
      </c>
      <c r="B34" s="290" t="s">
        <v>646</v>
      </c>
      <c r="C34" s="295">
        <f>30135008+12199626</f>
        <v>42334634</v>
      </c>
      <c r="D34" s="296">
        <v>29606348</v>
      </c>
      <c r="E34" s="295">
        <v>29567230</v>
      </c>
      <c r="F34" s="318">
        <v>0.101508212</v>
      </c>
      <c r="G34" s="318">
        <v>29627929</v>
      </c>
      <c r="H34" s="318">
        <v>30113842</v>
      </c>
      <c r="I34" s="319">
        <v>35734443</v>
      </c>
      <c r="J34" s="319">
        <v>0.19698442599999999</v>
      </c>
      <c r="K34" s="297"/>
      <c r="L34" s="297"/>
      <c r="M34" s="297"/>
      <c r="N34" s="297"/>
      <c r="O34" s="297"/>
      <c r="P34" s="297"/>
      <c r="Q34" s="297">
        <f t="shared" si="1"/>
        <v>196984426.29849264</v>
      </c>
    </row>
    <row r="35" spans="1:18" ht="28" customHeight="1">
      <c r="A35" s="304"/>
      <c r="B35" s="304" t="s">
        <v>647</v>
      </c>
      <c r="C35" s="297"/>
      <c r="D35" s="296">
        <v>0</v>
      </c>
      <c r="E35" s="295">
        <v>580000000</v>
      </c>
      <c r="F35" s="318">
        <v>0.57999999999999996</v>
      </c>
      <c r="G35" s="318"/>
      <c r="H35" s="318">
        <v>657428214</v>
      </c>
      <c r="I35" s="319">
        <v>580000000</v>
      </c>
      <c r="J35" s="319">
        <v>1.817428214</v>
      </c>
      <c r="K35" s="297"/>
      <c r="L35" s="297"/>
      <c r="M35" s="297"/>
      <c r="N35" s="297"/>
      <c r="O35" s="297"/>
      <c r="P35" s="297"/>
      <c r="Q35" s="297">
        <f t="shared" si="1"/>
        <v>1817428216.397428</v>
      </c>
    </row>
    <row r="36" spans="1:18" ht="28" customHeight="1">
      <c r="A36" s="304"/>
      <c r="B36" s="305" t="s">
        <v>648</v>
      </c>
      <c r="C36" s="297">
        <v>1056151828</v>
      </c>
      <c r="D36" s="296">
        <v>1029879990</v>
      </c>
      <c r="E36" s="306">
        <v>1749398948</v>
      </c>
      <c r="F36" s="318">
        <v>3.835430766</v>
      </c>
      <c r="G36" s="320">
        <v>1473211428</v>
      </c>
      <c r="H36" s="318">
        <v>2251331409</v>
      </c>
      <c r="I36" s="319">
        <v>1021723211</v>
      </c>
      <c r="J36" s="319">
        <v>8.5816968140000007</v>
      </c>
      <c r="K36" s="297"/>
      <c r="L36" s="297"/>
      <c r="M36" s="297"/>
      <c r="N36" s="297"/>
      <c r="O36" s="297"/>
      <c r="P36" s="297"/>
      <c r="Q36" s="297">
        <f t="shared" si="1"/>
        <v>8581696826.4171267</v>
      </c>
    </row>
    <row r="37" spans="1:18" ht="28" customHeight="1">
      <c r="A37" s="304"/>
      <c r="B37" s="305" t="s">
        <v>649</v>
      </c>
      <c r="C37" s="297">
        <v>21015237</v>
      </c>
      <c r="D37" s="296"/>
      <c r="E37" s="295">
        <v>36606419</v>
      </c>
      <c r="F37" s="318">
        <v>5.7621656E-2</v>
      </c>
      <c r="G37" s="319">
        <v>17730040</v>
      </c>
      <c r="H37" s="318">
        <v>5452960</v>
      </c>
      <c r="I37" s="319">
        <v>30646548</v>
      </c>
      <c r="J37" s="319">
        <v>0.111451204</v>
      </c>
      <c r="K37" s="297"/>
      <c r="L37" s="297"/>
      <c r="M37" s="297"/>
      <c r="N37" s="297"/>
      <c r="O37" s="297"/>
      <c r="P37" s="297"/>
      <c r="Q37" s="297">
        <f t="shared" si="1"/>
        <v>111451204.16907287</v>
      </c>
    </row>
    <row r="38" spans="1:18" ht="28" customHeight="1">
      <c r="A38" s="304"/>
      <c r="B38" s="305" t="s">
        <v>650</v>
      </c>
      <c r="C38" s="297">
        <v>11892000</v>
      </c>
      <c r="D38" s="296">
        <v>11778000</v>
      </c>
      <c r="E38" s="295">
        <v>11778000</v>
      </c>
      <c r="F38" s="318">
        <v>3.5448E-2</v>
      </c>
      <c r="G38" s="319">
        <v>10362000</v>
      </c>
      <c r="H38" s="318">
        <v>8616000</v>
      </c>
      <c r="I38" s="319">
        <v>11097000</v>
      </c>
      <c r="J38" s="319">
        <v>6.5522999999999998E-2</v>
      </c>
      <c r="K38" s="297"/>
      <c r="L38" s="297"/>
      <c r="M38" s="297"/>
      <c r="N38" s="297"/>
      <c r="O38" s="297"/>
      <c r="P38" s="297"/>
      <c r="Q38" s="297">
        <f t="shared" si="1"/>
        <v>65523000.100970998</v>
      </c>
    </row>
    <row r="39" spans="1:18" ht="28" customHeight="1">
      <c r="A39" s="304"/>
      <c r="B39" s="305" t="s">
        <v>651</v>
      </c>
      <c r="C39" s="297"/>
      <c r="D39" s="296"/>
      <c r="E39" s="295">
        <v>3789584</v>
      </c>
      <c r="F39" s="318">
        <v>3.7895839999999999E-3</v>
      </c>
      <c r="G39" s="318">
        <v>160047901</v>
      </c>
      <c r="H39" s="318">
        <v>605895</v>
      </c>
      <c r="I39" s="319">
        <v>19956094</v>
      </c>
      <c r="J39" s="319">
        <v>0.18439947400000001</v>
      </c>
      <c r="K39" s="297"/>
      <c r="L39" s="297"/>
      <c r="M39" s="297"/>
      <c r="N39" s="297"/>
      <c r="O39" s="297"/>
      <c r="P39" s="297"/>
      <c r="Q39" s="297">
        <f t="shared" si="1"/>
        <v>184399474.18818906</v>
      </c>
    </row>
    <row r="40" spans="1:18" ht="28" customHeight="1">
      <c r="A40" s="290" t="s">
        <v>569</v>
      </c>
      <c r="B40" s="290" t="s">
        <v>570</v>
      </c>
      <c r="C40" s="291"/>
      <c r="D40" s="296"/>
      <c r="E40" s="295"/>
      <c r="F40" s="318">
        <v>0</v>
      </c>
      <c r="G40" s="318"/>
      <c r="H40" s="318"/>
      <c r="I40" s="319">
        <v>0</v>
      </c>
      <c r="J40" s="319">
        <v>0</v>
      </c>
      <c r="K40" s="297"/>
      <c r="L40" s="297"/>
      <c r="M40" s="297"/>
      <c r="N40" s="297"/>
      <c r="O40" s="297"/>
      <c r="P40" s="297"/>
      <c r="Q40" s="297">
        <f t="shared" si="1"/>
        <v>0</v>
      </c>
    </row>
    <row r="41" spans="1:18" ht="28" customHeight="1">
      <c r="A41" s="290"/>
      <c r="B41" s="290"/>
      <c r="C41" s="297"/>
      <c r="D41" s="296"/>
      <c r="E41" s="295"/>
      <c r="F41" s="318">
        <v>0</v>
      </c>
      <c r="G41" s="318"/>
      <c r="H41" s="318"/>
      <c r="I41" s="319">
        <v>0</v>
      </c>
      <c r="J41" s="319">
        <v>0</v>
      </c>
      <c r="K41" s="297"/>
      <c r="L41" s="297"/>
      <c r="M41" s="297"/>
      <c r="N41" s="297"/>
      <c r="O41" s="297"/>
      <c r="P41" s="297"/>
      <c r="Q41" s="297">
        <f t="shared" si="1"/>
        <v>0</v>
      </c>
    </row>
    <row r="42" spans="1:18" ht="28" customHeight="1">
      <c r="A42" s="303" t="s">
        <v>652</v>
      </c>
      <c r="B42" s="290" t="s">
        <v>653</v>
      </c>
      <c r="C42" s="296"/>
      <c r="D42" s="296"/>
      <c r="E42" s="295"/>
      <c r="F42" s="318">
        <v>0</v>
      </c>
      <c r="G42" s="318"/>
      <c r="H42" s="318"/>
      <c r="I42" s="319">
        <v>0</v>
      </c>
      <c r="J42" s="319">
        <v>0</v>
      </c>
      <c r="K42" s="297"/>
      <c r="L42" s="297"/>
      <c r="M42" s="297"/>
      <c r="N42" s="297"/>
      <c r="O42" s="297"/>
      <c r="P42" s="297"/>
      <c r="Q42" s="297">
        <f t="shared" si="1"/>
        <v>0</v>
      </c>
    </row>
    <row r="43" spans="1:18" ht="28" customHeight="1">
      <c r="A43" s="307" t="s">
        <v>585</v>
      </c>
      <c r="B43" s="307" t="s">
        <v>654</v>
      </c>
      <c r="C43" s="308"/>
      <c r="D43" s="296"/>
      <c r="E43" s="295"/>
      <c r="F43" s="318">
        <v>0</v>
      </c>
      <c r="G43" s="318"/>
      <c r="H43" s="318"/>
      <c r="I43" s="319"/>
      <c r="J43" s="319">
        <v>0</v>
      </c>
      <c r="K43" s="297"/>
      <c r="L43" s="297"/>
      <c r="M43" s="308"/>
      <c r="N43" s="308"/>
      <c r="O43" s="297"/>
      <c r="P43" s="297"/>
      <c r="Q43" s="297">
        <f t="shared" si="1"/>
        <v>0</v>
      </c>
    </row>
    <row r="44" spans="1:18" ht="28" customHeight="1">
      <c r="A44" s="307" t="s">
        <v>655</v>
      </c>
      <c r="B44" s="307" t="s">
        <v>656</v>
      </c>
      <c r="C44" s="308"/>
      <c r="D44" s="296"/>
      <c r="E44" s="295"/>
      <c r="F44" s="318">
        <v>0</v>
      </c>
      <c r="G44" s="318"/>
      <c r="H44" s="318"/>
      <c r="I44" s="319">
        <v>0</v>
      </c>
      <c r="J44" s="319">
        <v>0</v>
      </c>
      <c r="K44" s="297"/>
      <c r="L44" s="297"/>
      <c r="M44" s="297"/>
      <c r="N44" s="297"/>
      <c r="O44" s="297"/>
      <c r="P44" s="297"/>
      <c r="Q44" s="297">
        <f t="shared" si="1"/>
        <v>0</v>
      </c>
    </row>
    <row r="45" spans="1:18" ht="28" customHeight="1">
      <c r="A45" s="307" t="s">
        <v>657</v>
      </c>
      <c r="B45" s="307" t="s">
        <v>658</v>
      </c>
      <c r="C45" s="308"/>
      <c r="D45" s="296"/>
      <c r="E45" s="295"/>
      <c r="F45" s="318">
        <v>0</v>
      </c>
      <c r="G45" s="318"/>
      <c r="H45" s="318"/>
      <c r="I45" s="319">
        <v>0</v>
      </c>
      <c r="J45" s="319">
        <v>0</v>
      </c>
      <c r="K45" s="297"/>
      <c r="L45" s="297"/>
      <c r="M45" s="308"/>
      <c r="N45" s="297"/>
      <c r="O45" s="297"/>
      <c r="P45" s="297"/>
      <c r="Q45" s="297">
        <f t="shared" si="1"/>
        <v>0</v>
      </c>
    </row>
    <row r="46" spans="1:18" ht="28" customHeight="1">
      <c r="A46" s="307"/>
      <c r="B46" s="307" t="s">
        <v>659</v>
      </c>
      <c r="C46" s="297">
        <v>750000000</v>
      </c>
      <c r="D46" s="296">
        <v>750000000</v>
      </c>
      <c r="E46" s="295">
        <v>750000000</v>
      </c>
      <c r="F46" s="318">
        <v>2.25</v>
      </c>
      <c r="G46" s="319">
        <v>750000000</v>
      </c>
      <c r="H46" s="318">
        <v>750000000</v>
      </c>
      <c r="I46" s="318">
        <v>750000000</v>
      </c>
      <c r="J46" s="319">
        <v>4.5</v>
      </c>
      <c r="K46" s="297"/>
      <c r="L46" s="297"/>
      <c r="M46" s="297"/>
      <c r="N46" s="297"/>
      <c r="O46" s="297"/>
      <c r="P46" s="297"/>
      <c r="Q46" s="297">
        <f t="shared" si="1"/>
        <v>4500000006.75</v>
      </c>
    </row>
    <row r="47" spans="1:18">
      <c r="B47" s="309"/>
      <c r="C47" s="302">
        <f>SUM(C4:C46)</f>
        <v>69400401880</v>
      </c>
      <c r="D47" s="310">
        <f>SUM(D4:D46)</f>
        <v>69990707627</v>
      </c>
      <c r="E47" s="310">
        <f t="shared" ref="E47:P47" si="2">SUM(E4:E46)</f>
        <v>72592790514</v>
      </c>
      <c r="F47" s="310"/>
      <c r="G47" s="310">
        <f t="shared" si="2"/>
        <v>73680845418</v>
      </c>
      <c r="H47" s="310">
        <f>SUM(H4:H46)</f>
        <v>76634927337</v>
      </c>
      <c r="I47" s="310">
        <f t="shared" si="2"/>
        <v>76323094901</v>
      </c>
      <c r="J47" s="310"/>
      <c r="K47" s="310">
        <f t="shared" si="2"/>
        <v>0</v>
      </c>
      <c r="L47" s="310">
        <f t="shared" si="2"/>
        <v>0</v>
      </c>
      <c r="M47" s="310">
        <f>SUM(M4:M46)</f>
        <v>0</v>
      </c>
      <c r="N47" s="310">
        <f>SUM(N4:N46)</f>
        <v>0</v>
      </c>
      <c r="O47" s="310">
        <f t="shared" si="2"/>
        <v>0</v>
      </c>
      <c r="P47" s="310">
        <f t="shared" si="2"/>
        <v>0</v>
      </c>
      <c r="Q47" s="297">
        <f>SUM(C47:P47)</f>
        <v>438622767677</v>
      </c>
      <c r="R47" s="311"/>
    </row>
    <row r="48" spans="1:18">
      <c r="C48" s="312"/>
      <c r="D48" s="312"/>
      <c r="E48" s="312"/>
      <c r="F48" s="312"/>
      <c r="G48" s="312"/>
      <c r="H48" s="312"/>
      <c r="I48" s="312"/>
      <c r="J48" s="312"/>
    </row>
    <row r="49" spans="3:17">
      <c r="D49" s="313"/>
      <c r="N49" s="302"/>
      <c r="P49" s="312"/>
    </row>
    <row r="50" spans="3:17">
      <c r="C50" s="302"/>
      <c r="D50" s="302"/>
      <c r="E50" s="302"/>
      <c r="F50" s="302"/>
      <c r="G50" s="302">
        <f>+G47-'[94]mandat avril'!$B$52</f>
        <v>2411351369</v>
      </c>
      <c r="H50" s="302"/>
      <c r="I50" s="302"/>
      <c r="J50" s="302"/>
      <c r="O50" s="314"/>
    </row>
    <row r="51" spans="3:17">
      <c r="C51" s="302"/>
      <c r="K51" s="302"/>
      <c r="N51" s="302"/>
    </row>
    <row r="52" spans="3:17">
      <c r="C52" s="302"/>
      <c r="D52" s="302"/>
      <c r="E52" s="302"/>
      <c r="F52" s="302"/>
      <c r="G52" s="302"/>
      <c r="H52" s="302">
        <v>72961492859</v>
      </c>
      <c r="I52" s="302"/>
      <c r="J52" s="302"/>
      <c r="N52" s="302"/>
    </row>
    <row r="53" spans="3:17">
      <c r="I53" s="302"/>
      <c r="J53" s="302"/>
    </row>
    <row r="55" spans="3:17">
      <c r="C55" s="312"/>
      <c r="D55" s="312">
        <f t="shared" ref="D55:O55" si="3">D47-D35</f>
        <v>69990707627</v>
      </c>
      <c r="E55" s="312">
        <f>E47-E35</f>
        <v>72012790514</v>
      </c>
      <c r="F55" s="312"/>
      <c r="G55" s="312">
        <f t="shared" si="3"/>
        <v>73680845418</v>
      </c>
      <c r="H55" s="312">
        <f>H47-H35</f>
        <v>75977499123</v>
      </c>
      <c r="I55" s="312">
        <f>I47-I35</f>
        <v>75743094901</v>
      </c>
      <c r="J55" s="312"/>
      <c r="K55" s="312">
        <f t="shared" si="3"/>
        <v>0</v>
      </c>
      <c r="L55" s="312">
        <f t="shared" si="3"/>
        <v>0</v>
      </c>
      <c r="M55" s="312">
        <f t="shared" si="3"/>
        <v>0</v>
      </c>
      <c r="N55" s="312"/>
      <c r="O55" s="312">
        <f t="shared" si="3"/>
        <v>0</v>
      </c>
      <c r="P55" s="312">
        <f>P47-P35</f>
        <v>0</v>
      </c>
      <c r="Q55" s="312">
        <f>SUM(C55:P55)</f>
        <v>367404937583</v>
      </c>
    </row>
    <row r="57" spans="3:17">
      <c r="E57" s="312"/>
      <c r="F57" s="312"/>
      <c r="G57" s="315">
        <v>71269494049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10</vt:i4>
      </vt:variant>
    </vt:vector>
  </HeadingPairs>
  <TitlesOfParts>
    <vt:vector size="24" baseType="lpstr">
      <vt:lpstr>SO_APU</vt:lpstr>
      <vt:lpstr>SO_APU_1</vt:lpstr>
      <vt:lpstr>SO_APU_2021</vt:lpstr>
      <vt:lpstr>SO_APU 2022</vt:lpstr>
      <vt:lpstr>SO_APU_dec_2022</vt:lpstr>
      <vt:lpstr>SO_APU_2023</vt:lpstr>
      <vt:lpstr>SO_APU juin 2023</vt:lpstr>
      <vt:lpstr>SO_APU_DEC_23</vt:lpstr>
      <vt:lpstr>SO_APU_sept_23</vt:lpstr>
      <vt:lpstr> situation des flux de trés (2</vt:lpstr>
      <vt:lpstr>3.5 Dette publique (T)</vt:lpstr>
      <vt:lpstr>BILAN FINANCIER</vt:lpstr>
      <vt:lpstr>CONSOL-AC</vt:lpstr>
      <vt:lpstr>DEVERS</vt:lpstr>
      <vt:lpstr>' situation des flux de trés (2'!Zone_d_impression</vt:lpstr>
      <vt:lpstr>SO_APU!Zone_d_impression</vt:lpstr>
      <vt:lpstr>'SO_APU 2022'!Zone_d_impression</vt:lpstr>
      <vt:lpstr>'SO_APU juin 2023'!Zone_d_impression</vt:lpstr>
      <vt:lpstr>SO_APU_1!Zone_d_impression</vt:lpstr>
      <vt:lpstr>SO_APU_2021!Zone_d_impression</vt:lpstr>
      <vt:lpstr>SO_APU_2023!Zone_d_impression</vt:lpstr>
      <vt:lpstr>SO_APU_dec_2022!Zone_d_impression</vt:lpstr>
      <vt:lpstr>SO_APU_DEC_23!Zone_d_impression</vt:lpstr>
      <vt:lpstr>SO_APU_sept_23!Zone_d_impression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Massamba DIENG</dc:creator>
  <cp:lastModifiedBy>Papa Bara Niang</cp:lastModifiedBy>
  <dcterms:created xsi:type="dcterms:W3CDTF">2021-03-15T10:09:46Z</dcterms:created>
  <dcterms:modified xsi:type="dcterms:W3CDTF">2024-10-25T10:40:41Z</dcterms:modified>
</cp:coreProperties>
</file>